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Waheed.Bur2112\Downloads\"/>
    </mc:Choice>
  </mc:AlternateContent>
  <xr:revisionPtr revIDLastSave="0" documentId="13_ncr:1_{83F30B1E-5D88-4E8A-8B38-2153AEC18F24}" xr6:coauthVersionLast="47" xr6:coauthVersionMax="47" xr10:uidLastSave="{00000000-0000-0000-0000-000000000000}"/>
  <bookViews>
    <workbookView xWindow="-110" yWindow="-110" windowWidth="38620" windowHeight="21100" activeTab="3" xr2:uid="{00000000-000D-0000-FFFF-FFFF00000000}"/>
  </bookViews>
  <sheets>
    <sheet name="Start Here" sheetId="1" r:id="rId1"/>
    <sheet name="Client Database" sheetId="2" r:id="rId2"/>
    <sheet name="Interaction Log" sheetId="3" r:id="rId3"/>
    <sheet name="Summary" sheetId="4" r:id="rId4"/>
    <sheet name="Settings" sheetId="5" r:id="rId5"/>
  </sheets>
  <definedNames>
    <definedName name="OwnerList">Settings!$C$6:$C$20</definedName>
    <definedName name="SegmentList">Settings!$E$6:$E$20</definedName>
    <definedName name="StageList">Settings!$B$6:$B$20</definedName>
    <definedName name="StatusList">Settings!$D$6:$D$20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3" i="4" l="1"/>
  <c r="C43" i="4"/>
  <c r="D42" i="4"/>
  <c r="C42" i="4"/>
  <c r="D41" i="4"/>
  <c r="C41" i="4"/>
  <c r="D40" i="4"/>
  <c r="C40" i="4"/>
  <c r="D39" i="4"/>
  <c r="C39" i="4"/>
  <c r="D34" i="4"/>
  <c r="C34" i="4"/>
  <c r="H33" i="4"/>
  <c r="G33" i="4"/>
  <c r="D33" i="4"/>
  <c r="C33" i="4"/>
  <c r="H32" i="4"/>
  <c r="G32" i="4"/>
  <c r="D32" i="4"/>
  <c r="C32" i="4"/>
  <c r="H31" i="4"/>
  <c r="G31" i="4"/>
  <c r="D31" i="4"/>
  <c r="C31" i="4"/>
  <c r="H30" i="4"/>
  <c r="G30" i="4"/>
  <c r="D30" i="4"/>
  <c r="C30" i="4"/>
  <c r="H29" i="4"/>
  <c r="G29" i="4"/>
  <c r="D29" i="4"/>
  <c r="C29" i="4"/>
  <c r="H24" i="4"/>
  <c r="F24" i="4"/>
  <c r="D24" i="4"/>
  <c r="B24" i="4"/>
  <c r="F7" i="4"/>
  <c r="Q31" i="2"/>
  <c r="O31" i="2"/>
  <c r="P31" i="2" s="1"/>
  <c r="N31" i="2"/>
  <c r="M31" i="2"/>
  <c r="R31" i="2" s="1"/>
  <c r="Q30" i="2"/>
  <c r="O30" i="2"/>
  <c r="P30" i="2" s="1"/>
  <c r="N30" i="2"/>
  <c r="M30" i="2"/>
  <c r="R30" i="2" s="1"/>
  <c r="Q29" i="2"/>
  <c r="O29" i="2"/>
  <c r="P29" i="2" s="1"/>
  <c r="N29" i="2"/>
  <c r="M29" i="2"/>
  <c r="R29" i="2" s="1"/>
  <c r="Q28" i="2"/>
  <c r="O28" i="2"/>
  <c r="P28" i="2" s="1"/>
  <c r="N28" i="2"/>
  <c r="M28" i="2"/>
  <c r="R28" i="2" s="1"/>
  <c r="Q27" i="2"/>
  <c r="O27" i="2"/>
  <c r="P27" i="2" s="1"/>
  <c r="N27" i="2"/>
  <c r="M27" i="2"/>
  <c r="R27" i="2" s="1"/>
  <c r="Q26" i="2"/>
  <c r="O26" i="2"/>
  <c r="P26" i="2" s="1"/>
  <c r="N26" i="2"/>
  <c r="M26" i="2"/>
  <c r="R26" i="2" s="1"/>
  <c r="Q25" i="2"/>
  <c r="O25" i="2"/>
  <c r="P25" i="2" s="1"/>
  <c r="N25" i="2"/>
  <c r="M25" i="2"/>
  <c r="R25" i="2" s="1"/>
  <c r="Q24" i="2"/>
  <c r="O24" i="2"/>
  <c r="P24" i="2" s="1"/>
  <c r="N24" i="2"/>
  <c r="M24" i="2"/>
  <c r="R24" i="2" s="1"/>
  <c r="Q23" i="2"/>
  <c r="O23" i="2"/>
  <c r="P23" i="2" s="1"/>
  <c r="N23" i="2"/>
  <c r="M23" i="2"/>
  <c r="R23" i="2" s="1"/>
  <c r="Q22" i="2"/>
  <c r="O22" i="2"/>
  <c r="P22" i="2" s="1"/>
  <c r="N22" i="2"/>
  <c r="M22" i="2"/>
  <c r="R22" i="2" s="1"/>
  <c r="Q21" i="2"/>
  <c r="O21" i="2"/>
  <c r="P21" i="2" s="1"/>
  <c r="N21" i="2"/>
  <c r="M21" i="2"/>
  <c r="R21" i="2" s="1"/>
  <c r="Q20" i="2"/>
  <c r="O20" i="2"/>
  <c r="P20" i="2" s="1"/>
  <c r="N20" i="2"/>
  <c r="M20" i="2"/>
  <c r="R20" i="2" s="1"/>
  <c r="Q19" i="2"/>
  <c r="O19" i="2"/>
  <c r="P19" i="2" s="1"/>
  <c r="N19" i="2"/>
  <c r="M19" i="2"/>
  <c r="R19" i="2" s="1"/>
  <c r="Q18" i="2"/>
  <c r="O18" i="2"/>
  <c r="P18" i="2" s="1"/>
  <c r="N18" i="2"/>
  <c r="M18" i="2"/>
  <c r="R18" i="2" s="1"/>
  <c r="Q17" i="2"/>
  <c r="O17" i="2"/>
  <c r="N17" i="2"/>
  <c r="M17" i="2"/>
  <c r="R17" i="2" s="1"/>
  <c r="Q16" i="2"/>
  <c r="O16" i="2"/>
  <c r="P16" i="2" s="1"/>
  <c r="N16" i="2"/>
  <c r="M16" i="2"/>
  <c r="R16" i="2" s="1"/>
  <c r="Q15" i="2"/>
  <c r="O15" i="2"/>
  <c r="I32" i="4" s="1"/>
  <c r="N15" i="2"/>
  <c r="M15" i="2"/>
  <c r="R15" i="2" s="1"/>
  <c r="Q14" i="2"/>
  <c r="O14" i="2"/>
  <c r="P14" i="2" s="1"/>
  <c r="N14" i="2"/>
  <c r="M14" i="2"/>
  <c r="R14" i="2" s="1"/>
  <c r="Q13" i="2"/>
  <c r="O13" i="2"/>
  <c r="P13" i="2" s="1"/>
  <c r="N13" i="2"/>
  <c r="M13" i="2"/>
  <c r="R13" i="2" s="1"/>
  <c r="Q12" i="2"/>
  <c r="O12" i="2"/>
  <c r="N12" i="2"/>
  <c r="M12" i="2"/>
  <c r="R12" i="2" s="1"/>
  <c r="Q11" i="2"/>
  <c r="O11" i="2"/>
  <c r="N11" i="2"/>
  <c r="M11" i="2"/>
  <c r="R11" i="2" s="1"/>
  <c r="Q10" i="2"/>
  <c r="O10" i="2"/>
  <c r="N10" i="2"/>
  <c r="M10" i="2"/>
  <c r="R10" i="2" s="1"/>
  <c r="Q9" i="2"/>
  <c r="O9" i="2"/>
  <c r="P9" i="2" s="1"/>
  <c r="N9" i="2"/>
  <c r="M9" i="2"/>
  <c r="R9" i="2" s="1"/>
  <c r="Q8" i="2"/>
  <c r="O8" i="2"/>
  <c r="N8" i="2"/>
  <c r="M8" i="2"/>
  <c r="R8" i="2" s="1"/>
  <c r="Q7" i="2"/>
  <c r="D18" i="4" s="1"/>
  <c r="O7" i="2"/>
  <c r="I33" i="4" s="1"/>
  <c r="N7" i="2"/>
  <c r="M7" i="2"/>
  <c r="R7" i="2" s="1"/>
  <c r="Q6" i="2"/>
  <c r="O6" i="2"/>
  <c r="P6" i="2" s="1"/>
  <c r="N6" i="2"/>
  <c r="M6" i="2"/>
  <c r="R6" i="2" s="1"/>
  <c r="Q5" i="2"/>
  <c r="O5" i="2"/>
  <c r="N5" i="2"/>
  <c r="M5" i="2"/>
  <c r="R5" i="2" s="1"/>
  <c r="Q4" i="2"/>
  <c r="O4" i="2"/>
  <c r="N4" i="2"/>
  <c r="M4" i="2"/>
  <c r="R4" i="2" s="1"/>
  <c r="Q3" i="2"/>
  <c r="O3" i="2"/>
  <c r="N3" i="2"/>
  <c r="M3" i="2"/>
  <c r="R3" i="2" s="1"/>
  <c r="Q2" i="2"/>
  <c r="O2" i="2"/>
  <c r="N2" i="2"/>
  <c r="M2" i="2"/>
  <c r="R2" i="2" s="1"/>
  <c r="P3" i="2" l="1"/>
  <c r="I31" i="4"/>
  <c r="P10" i="2"/>
  <c r="P5" i="2"/>
  <c r="P17" i="2"/>
  <c r="P7" i="2"/>
  <c r="I30" i="4"/>
  <c r="I29" i="4"/>
  <c r="P12" i="2"/>
  <c r="D7" i="4"/>
  <c r="D14" i="4"/>
  <c r="D15" i="4"/>
  <c r="D17" i="4"/>
  <c r="P11" i="2"/>
  <c r="P4" i="2"/>
  <c r="P8" i="2"/>
  <c r="H7" i="4"/>
  <c r="P15" i="2"/>
  <c r="P2" i="2"/>
  <c r="B7" i="4"/>
  <c r="D12" i="4" l="1"/>
  <c r="D11" i="4"/>
</calcChain>
</file>

<file path=xl/sharedStrings.xml><?xml version="1.0" encoding="utf-8"?>
<sst xmlns="http://schemas.openxmlformats.org/spreadsheetml/2006/main" count="362" uniqueCount="218">
  <si>
    <t>MAGNETCLICKS</t>
  </si>
  <si>
    <t>magnetclicks.com  ·  Learning Hub</t>
  </si>
  <si>
    <t>Client Relationship Manager</t>
  </si>
  <si>
    <t>Free version</t>
  </si>
  <si>
    <t>Last updated: April 2026</t>
  </si>
  <si>
    <t>What this template helps you do</t>
  </si>
  <si>
    <t>Manage up to 100 client relationships in one place. Know who needs attention, who has gone cold, and who you last spoke to — without paying for CRM software.</t>
  </si>
  <si>
    <t>Best for</t>
  </si>
  <si>
    <t>•  Freelancers tracking 20–50 clients</t>
  </si>
  <si>
    <t>•  Consultants and agencies</t>
  </si>
  <si>
    <t>•  Small sales teams without a CRM</t>
  </si>
  <si>
    <t>•  Solo business owners</t>
  </si>
  <si>
    <t>Time to customise</t>
  </si>
  <si>
    <t>10 minutes</t>
  </si>
  <si>
    <t>Compatibility</t>
  </si>
  <si>
    <t>Excel 365, 2021, 2019, and Excel for Mac. No macros required.</t>
  </si>
  <si>
    <t>Tabs in this workbook</t>
  </si>
  <si>
    <t>Client Database</t>
  </si>
  <si>
    <t>Main client list with contact info, stage, owner, and follow-up status.</t>
  </si>
  <si>
    <t>Interaction Log</t>
  </si>
  <si>
    <t>Every call, email, or meeting logged against a client. Feeds the activity count.</t>
  </si>
  <si>
    <t>Summary</t>
  </si>
  <si>
    <t>Decision KPIs, follow-up attention, and breakdowns by stage, owner, and segment.</t>
  </si>
  <si>
    <t>Settings</t>
  </si>
  <si>
    <t>Stages, owners, statuses, and segments — edit to match your business.</t>
  </si>
  <si>
    <t>What updates automatically</t>
  </si>
  <si>
    <t>✓  Days Since Last Contact — for every client</t>
  </si>
  <si>
    <t>✓  Activity count — pulled from the Interaction Log</t>
  </si>
  <si>
    <t>✓  Follow-Up Status — based on the next follow-up date</t>
  </si>
  <si>
    <t>✓  All Summary KPIs and breakdowns</t>
  </si>
  <si>
    <t>Where to replace sample data</t>
  </si>
  <si>
    <t>Light blue cells are intended for your input — type over the sample data. Formula and summary cells update automatically. The Settings tab contains dropdown lists you can customise to match your business.</t>
  </si>
  <si>
    <t>Licence</t>
  </si>
  <si>
    <t>Free to use for personal and commercial work. Edit, rebrand, and share within your team. Do not redistribute as your own template product. Attribution appreciated.</t>
  </si>
  <si>
    <t>Full tutorial</t>
  </si>
  <si>
    <t>Read the step-by-step guide:</t>
  </si>
  <si>
    <t>https://magnetclicks.com/templates/client-relationship-manager-template-for-excel/</t>
  </si>
  <si>
    <t>© MagnetClicks</t>
  </si>
  <si>
    <t>More free templates at magnetclicks.com/templates</t>
  </si>
  <si>
    <t>Client ID</t>
  </si>
  <si>
    <t>Company</t>
  </si>
  <si>
    <t>Contact Name</t>
  </si>
  <si>
    <t>Email</t>
  </si>
  <si>
    <t>Phone</t>
  </si>
  <si>
    <t>Stage</t>
  </si>
  <si>
    <t>Owner</t>
  </si>
  <si>
    <t>Status</t>
  </si>
  <si>
    <t>Segment</t>
  </si>
  <si>
    <t>Est. Value</t>
  </si>
  <si>
    <t>Last Contact</t>
  </si>
  <si>
    <t>Next Follow-Up</t>
  </si>
  <si>
    <t>Days Since</t>
  </si>
  <si>
    <t>Activities</t>
  </si>
  <si>
    <t>Follow-Up Status</t>
  </si>
  <si>
    <t>_OverdueDays</t>
  </si>
  <si>
    <t>_AtRiskValue</t>
  </si>
  <si>
    <t>_NoContactDays</t>
  </si>
  <si>
    <t>C001</t>
  </si>
  <si>
    <t>Acme Corp</t>
  </si>
  <si>
    <t>John Smith</t>
  </si>
  <si>
    <t>john@acme.com</t>
  </si>
  <si>
    <t>555-0101</t>
  </si>
  <si>
    <t>Qualified</t>
  </si>
  <si>
    <t>Sarah</t>
  </si>
  <si>
    <t>Active</t>
  </si>
  <si>
    <t>Enterprise</t>
  </si>
  <si>
    <t>C002</t>
  </si>
  <si>
    <t>Bright Ventures</t>
  </si>
  <si>
    <t>Maria Lopez</t>
  </si>
  <si>
    <t>m.lopez@bv.io</t>
  </si>
  <si>
    <t>555-0102</t>
  </si>
  <si>
    <t>Proposal</t>
  </si>
  <si>
    <t>James</t>
  </si>
  <si>
    <t>Mid-Market</t>
  </si>
  <si>
    <t>C003</t>
  </si>
  <si>
    <t>Cobalt Systems</t>
  </si>
  <si>
    <t>Ashish Gupta</t>
  </si>
  <si>
    <t>ashish@cobalt.co</t>
  </si>
  <si>
    <t>555-0103</t>
  </si>
  <si>
    <t>New</t>
  </si>
  <si>
    <t>Priya</t>
  </si>
  <si>
    <t>SMB</t>
  </si>
  <si>
    <t>C004</t>
  </si>
  <si>
    <t>Delta Industries</t>
  </si>
  <si>
    <t>Emma Chen</t>
  </si>
  <si>
    <t>emma@delta-ind.com</t>
  </si>
  <si>
    <t>555-0104</t>
  </si>
  <si>
    <t>Negotiation</t>
  </si>
  <si>
    <t>Marcus</t>
  </si>
  <si>
    <t>C005</t>
  </si>
  <si>
    <t>Evergreen Media</t>
  </si>
  <si>
    <t>David Kim</t>
  </si>
  <si>
    <t>dkim@evergreen.tv</t>
  </si>
  <si>
    <t>555-0105</t>
  </si>
  <si>
    <t>Closed Won</t>
  </si>
  <si>
    <t>C006</t>
  </si>
  <si>
    <t>Forge &amp; Co.</t>
  </si>
  <si>
    <t>Rachel Brown</t>
  </si>
  <si>
    <t>rachel@forge.ltd</t>
  </si>
  <si>
    <t>555-0106</t>
  </si>
  <si>
    <t>Lee</t>
  </si>
  <si>
    <t>At Risk</t>
  </si>
  <si>
    <t>C007</t>
  </si>
  <si>
    <t>Greenhouse Ltd</t>
  </si>
  <si>
    <t>Samuel O'Neill</t>
  </si>
  <si>
    <t>sam@greenhouse.uk</t>
  </si>
  <si>
    <t>555-0107</t>
  </si>
  <si>
    <t>C008</t>
  </si>
  <si>
    <t>Horizon Labs</t>
  </si>
  <si>
    <t>Fatima Khan</t>
  </si>
  <si>
    <t>fk@horizonlabs.io</t>
  </si>
  <si>
    <t>555-0108</t>
  </si>
  <si>
    <t>Closed Lost</t>
  </si>
  <si>
    <t>Archived</t>
  </si>
  <si>
    <t>Startup</t>
  </si>
  <si>
    <t>C009</t>
  </si>
  <si>
    <t>Indigo Partners</t>
  </si>
  <si>
    <t>Takeshi Yoshida</t>
  </si>
  <si>
    <t>takeshi@indigo.jp</t>
  </si>
  <si>
    <t>555-0109</t>
  </si>
  <si>
    <t>C010</t>
  </si>
  <si>
    <t>Jet Analytics</t>
  </si>
  <si>
    <t>Bilal Patel</t>
  </si>
  <si>
    <t>bpatel@jetanalytics.io</t>
  </si>
  <si>
    <t>555-0110</t>
  </si>
  <si>
    <t>C011</t>
  </si>
  <si>
    <t>Kona Design</t>
  </si>
  <si>
    <t>Linda Chen</t>
  </si>
  <si>
    <t>linda@konadesign.com</t>
  </si>
  <si>
    <t>555-0111</t>
  </si>
  <si>
    <t>C012</t>
  </si>
  <si>
    <t>Linden Group</t>
  </si>
  <si>
    <t>Nadia Al-Hassan</t>
  </si>
  <si>
    <t>nadia@linden-grp.com</t>
  </si>
  <si>
    <t>555-0112</t>
  </si>
  <si>
    <t>C013</t>
  </si>
  <si>
    <t>Meridian Partners</t>
  </si>
  <si>
    <t>Olivia Jackson</t>
  </si>
  <si>
    <t>olivia@meridian.co</t>
  </si>
  <si>
    <t>555-0113</t>
  </si>
  <si>
    <t>C014</t>
  </si>
  <si>
    <t>Nectar Foods</t>
  </si>
  <si>
    <t>Carlos Ramos</t>
  </si>
  <si>
    <t>c.ramos@nectar.food</t>
  </si>
  <si>
    <t>555-0114</t>
  </si>
  <si>
    <t>C015</t>
  </si>
  <si>
    <t>Orbit Studios</t>
  </si>
  <si>
    <t>Hiro Tanaka</t>
  </si>
  <si>
    <t>hiro@orbitstudios.tv</t>
  </si>
  <si>
    <t>555-0115</t>
  </si>
  <si>
    <t>C016</t>
  </si>
  <si>
    <t>Pinnacle Health</t>
  </si>
  <si>
    <t>Amy Robinson</t>
  </si>
  <si>
    <t>amy@pinnaclehealth.org</t>
  </si>
  <si>
    <t>555-0116</t>
  </si>
  <si>
    <t>C017</t>
  </si>
  <si>
    <t>Quartz Logistics</t>
  </si>
  <si>
    <t>Michael Chang</t>
  </si>
  <si>
    <t>m.chang@quartz-log.com</t>
  </si>
  <si>
    <t>555-0117</t>
  </si>
  <si>
    <t>C018</t>
  </si>
  <si>
    <t>Roam Travel</t>
  </si>
  <si>
    <t>Priya Sharma</t>
  </si>
  <si>
    <t>psharma@roamtravel.co</t>
  </si>
  <si>
    <t>555-0118</t>
  </si>
  <si>
    <t>Dormant</t>
  </si>
  <si>
    <t>Date</t>
  </si>
  <si>
    <t>Client</t>
  </si>
  <si>
    <t>Type</t>
  </si>
  <si>
    <t>Follow-Up Needed?</t>
  </si>
  <si>
    <t>Meeting</t>
  </si>
  <si>
    <t>On-site demo with CFO, strong interest</t>
  </si>
  <si>
    <t>Yes</t>
  </si>
  <si>
    <t>Contract discussion, targeting May signing</t>
  </si>
  <si>
    <t>Call</t>
  </si>
  <si>
    <t>Discussed Q3 requirements, requested proposal</t>
  </si>
  <si>
    <t>Sent proposal v2 with updated pricing</t>
  </si>
  <si>
    <t>No</t>
  </si>
  <si>
    <t>Demo</t>
  </si>
  <si>
    <t>Intro demo went well, follow-up scheduled</t>
  </si>
  <si>
    <t>Final pricing call, awaiting internal sign-off</t>
  </si>
  <si>
    <t>Intro call, sent follow-up materials</t>
  </si>
  <si>
    <t>Sent onboarding pack, awaiting response</t>
  </si>
  <si>
    <t>Fourth reminder, no response yet</t>
  </si>
  <si>
    <t>Discovery workshop with technical team</t>
  </si>
  <si>
    <t>Client raised concerns about timeline</t>
  </si>
  <si>
    <t>Contract signed, kick-off next week</t>
  </si>
  <si>
    <t>Pipeline Summary</t>
  </si>
  <si>
    <t>Live snapshot — what needs your attention right now, plus the financial picture.</t>
  </si>
  <si>
    <t xml:space="preserve">  ⚠  NEEDS YOUR ATTENTION</t>
  </si>
  <si>
    <t>OVERDUE FOLLOW-UPS</t>
  </si>
  <si>
    <t>DUE SOON</t>
  </si>
  <si>
    <t>AT-RISK ACCOUNTS</t>
  </si>
  <si>
    <t>NO CONTACT 30+ DAYS</t>
  </si>
  <si>
    <t>Clients Needing Attention</t>
  </si>
  <si>
    <t xml:space="preserve">  MOST OVERDUE FOLLOW-UP</t>
  </si>
  <si>
    <t xml:space="preserve">  LONGEST NO-CONTACT</t>
  </si>
  <si>
    <t xml:space="preserve">  HIGHEST-VALUE AT-RISK</t>
  </si>
  <si>
    <t>→  Open the Client Database tab. Filter the 'Follow-Up Status' column for 'Overdue' or sort by 'Days Since' descending to see the full list of clients needing attention.</t>
  </si>
  <si>
    <t>Pipeline Totals</t>
  </si>
  <si>
    <t>Total Clients</t>
  </si>
  <si>
    <t>Active Pipeline</t>
  </si>
  <si>
    <t>Est. Pipeline Value</t>
  </si>
  <si>
    <t>Closed Won Value</t>
  </si>
  <si>
    <t>Pipeline by Stage</t>
  </si>
  <si>
    <t>Workload by Owner</t>
  </si>
  <si>
    <t>Count</t>
  </si>
  <si>
    <t>Pipeline Value</t>
  </si>
  <si>
    <t>Clients</t>
  </si>
  <si>
    <t>Active Value</t>
  </si>
  <si>
    <t>Overdue</t>
  </si>
  <si>
    <t>By Segment</t>
  </si>
  <si>
    <t>Non-Profit</t>
  </si>
  <si>
    <t>Edit these lists to match your business. Database dropdowns read from here.</t>
  </si>
  <si>
    <t>Stages</t>
  </si>
  <si>
    <t>Owners</t>
  </si>
  <si>
    <t>Statuses</t>
  </si>
  <si>
    <t>Segments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</si>
</sst>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yyyy\-mm\-dd"/>
  </numFmts>
  <fonts count="26" x14ac:knownFonts="1">
    <font>
      <sz val="11"/>
      <color theme="1"/>
      <name val="Calibri"/>
      <family val="2"/>
      <scheme val="minor"/>
    </font>
    <font>
      <b/>
      <sz val="9"/>
      <color rgb="FF00695C"/>
      <name val="Calibri"/>
    </font>
    <font>
      <sz val="9"/>
      <color rgb="FF6B7280"/>
      <name val="Calibri"/>
    </font>
    <font>
      <b/>
      <sz val="22"/>
      <color rgb="FF00695C"/>
      <name val="Calibri"/>
    </font>
    <font>
      <b/>
      <sz val="11"/>
      <color rgb="FF00897B"/>
      <name val="Calibri"/>
    </font>
    <font>
      <sz val="11"/>
      <color rgb="FF6B7280"/>
      <name val="Calibri"/>
    </font>
    <font>
      <b/>
      <sz val="13"/>
      <color rgb="FF00695C"/>
      <name val="Calibri"/>
    </font>
    <font>
      <sz val="12"/>
      <color rgb="FF1A1A1A"/>
      <name val="Calibri"/>
    </font>
    <font>
      <b/>
      <sz val="11"/>
      <color rgb="FF00695C"/>
      <name val="Calibri"/>
    </font>
    <font>
      <sz val="11"/>
      <color rgb="FF1A1A1A"/>
      <name val="Calibri"/>
    </font>
    <font>
      <u/>
      <sz val="11"/>
      <color rgb="FF00695C"/>
      <name val="Calibri"/>
    </font>
    <font>
      <b/>
      <sz val="16"/>
      <color rgb="FF00695C"/>
      <name val="Calibri"/>
    </font>
    <font>
      <i/>
      <sz val="10"/>
      <color rgb="FF6B7280"/>
      <name val="Calibri"/>
    </font>
    <font>
      <b/>
      <sz val="11"/>
      <color rgb="FFFFFFFF"/>
      <name val="Calibri"/>
    </font>
    <font>
      <b/>
      <sz val="18"/>
      <color rgb="FF00695C"/>
      <name val="Calibri"/>
    </font>
    <font>
      <b/>
      <sz val="13"/>
      <color rgb="FFFFFFFF"/>
      <name val="Calibri"/>
    </font>
    <font>
      <b/>
      <sz val="10"/>
      <color rgb="FFFFFFFF"/>
      <name val="Calibri"/>
    </font>
    <font>
      <b/>
      <sz val="22"/>
      <color rgb="FFC62828"/>
      <name val="Calibri"/>
    </font>
    <font>
      <b/>
      <sz val="22"/>
      <color rgb="FFEF6C00"/>
      <name val="Calibri"/>
    </font>
    <font>
      <b/>
      <sz val="9"/>
      <color rgb="FFFFFFFF"/>
      <name val="Calibri"/>
    </font>
    <font>
      <b/>
      <sz val="14"/>
      <color rgb="FFC62828"/>
      <name val="Calibri"/>
    </font>
    <font>
      <sz val="10"/>
      <color rgb="FF6B7280"/>
      <name val="Calibri"/>
    </font>
    <font>
      <b/>
      <sz val="14"/>
      <color rgb="FFEF6C00"/>
      <name val="Calibri"/>
    </font>
    <font>
      <i/>
      <sz val="11"/>
      <color rgb="FF1A1A1A"/>
      <name val="Calibri"/>
    </font>
    <font>
      <b/>
      <sz val="14"/>
      <color rgb="FF00695C"/>
      <name val="Calibri"/>
    </font>
    <font>
      <b/>
      <sz val="20"/>
      <color rgb="FF00695C"/>
      <name val="Calibri"/>
    </font>
  </fonts>
  <fills count="11">
    <fill>
      <patternFill patternType="none"/>
    </fill>
    <fill>
      <patternFill patternType="gray125"/>
    </fill>
    <fill>
      <patternFill patternType="solid">
        <fgColor rgb="FF00695C"/>
      </patternFill>
    </fill>
    <fill>
      <patternFill patternType="solid">
        <fgColor rgb="FFE0F2F1"/>
      </patternFill>
    </fill>
    <fill>
      <patternFill patternType="solid">
        <fgColor rgb="FFE3F2FD"/>
      </patternFill>
    </fill>
    <fill>
      <patternFill patternType="solid">
        <fgColor rgb="FFFAFAFA"/>
      </patternFill>
    </fill>
    <fill>
      <patternFill patternType="solid">
        <fgColor rgb="FFC62828"/>
      </patternFill>
    </fill>
    <fill>
      <patternFill patternType="solid">
        <fgColor rgb="FFFFF5F5"/>
      </patternFill>
    </fill>
    <fill>
      <patternFill patternType="solid">
        <fgColor rgb="FFEF6C00"/>
      </patternFill>
    </fill>
    <fill>
      <patternFill patternType="solid">
        <fgColor rgb="FFFFF8E1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>
      <left style="thin">
        <color rgb="FFC62828"/>
      </left>
      <right style="thin">
        <color rgb="FFC62828"/>
      </right>
      <top style="thin">
        <color rgb="FFC62828"/>
      </top>
      <bottom style="thin">
        <color rgb="FFC62828"/>
      </bottom>
      <diagonal/>
    </border>
    <border>
      <left/>
      <right style="thin">
        <color rgb="FFC62828"/>
      </right>
      <top style="thin">
        <color rgb="FFC62828"/>
      </top>
      <bottom style="thin">
        <color rgb="FFC62828"/>
      </bottom>
      <diagonal/>
    </border>
    <border>
      <left style="thin">
        <color rgb="FFEF6C00"/>
      </left>
      <right style="thin">
        <color rgb="FFEF6C00"/>
      </right>
      <top style="thin">
        <color rgb="FFEF6C00"/>
      </top>
      <bottom style="thin">
        <color rgb="FFEF6C00"/>
      </bottom>
      <diagonal/>
    </border>
    <border>
      <left/>
      <right style="thin">
        <color rgb="FFEF6C00"/>
      </right>
      <top style="thin">
        <color rgb="FFEF6C00"/>
      </top>
      <bottom style="thin">
        <color rgb="FFEF6C00"/>
      </bottom>
      <diagonal/>
    </border>
    <border>
      <left/>
      <right/>
      <top style="thin">
        <color rgb="FFC62828"/>
      </top>
      <bottom style="thin">
        <color rgb="FFC62828"/>
      </bottom>
      <diagonal/>
    </border>
    <border>
      <left/>
      <right/>
      <top style="thin">
        <color rgb="FFEF6C00"/>
      </top>
      <bottom style="thin">
        <color rgb="FFEF6C00"/>
      </bottom>
      <diagonal/>
    </border>
    <border>
      <left style="thin">
        <color rgb="FF00897B"/>
      </left>
      <right style="thin">
        <color rgb="FF00897B"/>
      </right>
      <top style="thin">
        <color rgb="FF00897B"/>
      </top>
      <bottom style="thin">
        <color rgb="FF00897B"/>
      </bottom>
      <diagonal/>
    </border>
    <border>
      <left/>
      <right style="thin">
        <color rgb="FF00897B"/>
      </right>
      <top style="thin">
        <color rgb="FF00897B"/>
      </top>
      <bottom style="thin">
        <color rgb="FF00897B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0" fillId="2" borderId="0" xfId="0" applyFill="1"/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0" fillId="3" borderId="0" xfId="0" applyFill="1"/>
    <xf numFmtId="0" fontId="2" fillId="0" borderId="0" xfId="0" applyFont="1" applyAlignment="1">
      <alignment horizontal="right"/>
    </xf>
    <xf numFmtId="0" fontId="13" fillId="2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left" vertical="center" wrapText="1"/>
    </xf>
    <xf numFmtId="164" fontId="9" fillId="4" borderId="2" xfId="0" applyNumberFormat="1" applyFont="1" applyFill="1" applyBorder="1" applyAlignment="1">
      <alignment horizontal="right" vertical="center"/>
    </xf>
    <xf numFmtId="165" fontId="9" fillId="4" borderId="2" xfId="0" applyNumberFormat="1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164" fontId="9" fillId="4" borderId="2" xfId="0" applyNumberFormat="1" applyFont="1" applyFill="1" applyBorder="1" applyAlignment="1">
      <alignment horizontal="left" vertical="center" wrapText="1"/>
    </xf>
    <xf numFmtId="165" fontId="9" fillId="4" borderId="2" xfId="0" applyNumberFormat="1" applyFont="1" applyFill="1" applyBorder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2" fillId="0" borderId="0" xfId="0" applyFont="1"/>
    <xf numFmtId="0" fontId="24" fillId="0" borderId="0" xfId="0" applyFont="1" applyAlignment="1">
      <alignment horizontal="left" vertical="center"/>
    </xf>
    <xf numFmtId="0" fontId="9" fillId="5" borderId="2" xfId="0" applyFont="1" applyFill="1" applyBorder="1" applyAlignment="1">
      <alignment horizontal="left" vertical="center"/>
    </xf>
    <xf numFmtId="164" fontId="9" fillId="5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/>
    <xf numFmtId="0" fontId="9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/>
    </xf>
    <xf numFmtId="0" fontId="20" fillId="7" borderId="3" xfId="0" applyFont="1" applyFill="1" applyBorder="1" applyAlignment="1">
      <alignment horizontal="left" vertical="center" indent="1"/>
    </xf>
    <xf numFmtId="0" fontId="0" fillId="0" borderId="7" xfId="0" applyBorder="1"/>
    <xf numFmtId="0" fontId="0" fillId="0" borderId="4" xfId="0" applyBorder="1"/>
    <xf numFmtId="0" fontId="17" fillId="7" borderId="3" xfId="0" applyFont="1" applyFill="1" applyBorder="1" applyAlignment="1">
      <alignment horizontal="center" vertical="center"/>
    </xf>
    <xf numFmtId="0" fontId="21" fillId="3" borderId="9" xfId="0" applyFont="1" applyFill="1" applyBorder="1" applyAlignment="1">
      <alignment horizontal="center" vertical="center"/>
    </xf>
    <xf numFmtId="0" fontId="0" fillId="0" borderId="10" xfId="0" applyBorder="1"/>
    <xf numFmtId="0" fontId="16" fillId="8" borderId="5" xfId="0" applyFont="1" applyFill="1" applyBorder="1" applyAlignment="1">
      <alignment horizontal="center" vertical="center"/>
    </xf>
    <xf numFmtId="0" fontId="0" fillId="0" borderId="6" xfId="0" applyBorder="1"/>
    <xf numFmtId="0" fontId="18" fillId="7" borderId="5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21" fillId="7" borderId="3" xfId="0" applyFont="1" applyFill="1" applyBorder="1" applyAlignment="1">
      <alignment horizontal="left" vertical="center" indent="1"/>
    </xf>
    <xf numFmtId="0" fontId="23" fillId="0" borderId="0" xfId="0" applyFont="1" applyAlignment="1">
      <alignment vertical="top" wrapText="1"/>
    </xf>
    <xf numFmtId="164" fontId="25" fillId="10" borderId="9" xfId="0" applyNumberFormat="1" applyFont="1" applyFill="1" applyBorder="1" applyAlignment="1">
      <alignment horizontal="center" vertical="center"/>
    </xf>
    <xf numFmtId="0" fontId="21" fillId="9" borderId="5" xfId="0" applyFont="1" applyFill="1" applyBorder="1" applyAlignment="1">
      <alignment horizontal="left" vertical="center" indent="1"/>
    </xf>
    <xf numFmtId="0" fontId="0" fillId="0" borderId="8" xfId="0" applyBorder="1"/>
    <xf numFmtId="0" fontId="22" fillId="9" borderId="5" xfId="0" applyFont="1" applyFill="1" applyBorder="1" applyAlignment="1">
      <alignment horizontal="left" vertical="center" indent="1"/>
    </xf>
    <xf numFmtId="0" fontId="19" fillId="6" borderId="0" xfId="0" applyFont="1" applyFill="1" applyAlignment="1">
      <alignment horizontal="left" vertical="center"/>
    </xf>
    <xf numFmtId="0" fontId="15" fillId="6" borderId="0" xfId="0" applyFont="1" applyFill="1" applyAlignment="1">
      <alignment horizontal="left" vertical="center"/>
    </xf>
    <xf numFmtId="0" fontId="19" fillId="8" borderId="0" xfId="0" applyFont="1" applyFill="1" applyAlignment="1">
      <alignment horizontal="left" vertical="center"/>
    </xf>
    <xf numFmtId="0" fontId="25" fillId="10" borderId="9" xfId="0" applyFont="1" applyFill="1" applyBorder="1" applyAlignment="1">
      <alignment horizontal="center" vertical="center"/>
    </xf>
  </cellXfs>
  <cellStyles count="1">
    <cellStyle name="Normal" xfId="0" builtinId="0"/>
  </cellStyles>
  <dxfs count="9">
    <dxf>
      <fill>
        <patternFill patternType="solid">
          <fgColor rgb="FFECEFF1"/>
        </patternFill>
      </fill>
    </dxf>
    <dxf>
      <fill>
        <patternFill patternType="solid">
          <fgColor rgb="FFC8E6C9"/>
        </patternFill>
      </fill>
    </dxf>
    <dxf>
      <fill>
        <patternFill patternType="solid">
          <fgColor rgb="FFFFE0B2"/>
        </patternFill>
      </fill>
    </dxf>
    <dxf>
      <fill>
        <patternFill patternType="solid">
          <fgColor rgb="FFFFCDD2"/>
        </patternFill>
      </fill>
    </dxf>
    <dxf>
      <fill>
        <patternFill patternType="solid">
          <fgColor rgb="FFFFCDD2"/>
        </patternFill>
      </fill>
    </dxf>
    <dxf>
      <fill>
        <patternFill patternType="solid">
          <fgColor rgb="FFECEFF1"/>
        </patternFill>
      </fill>
    </dxf>
    <dxf>
      <fill>
        <patternFill patternType="solid">
          <fgColor rgb="FFFFCDD2"/>
        </patternFill>
      </fill>
    </dxf>
    <dxf>
      <fill>
        <patternFill patternType="solid">
          <fgColor rgb="FFFFE0B2"/>
        </patternFill>
      </fill>
    </dxf>
    <dxf>
      <fill>
        <patternFill patternType="solid">
          <fgColor rgb="FFC8E6C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lientDB" displayName="ClientDB" ref="A1:R31">
  <autoFilter ref="A1:R31" xr:uid="{00000000-0009-0000-0100-000001000000}"/>
  <tableColumns count="18">
    <tableColumn id="1" xr3:uid="{00000000-0010-0000-0000-000001000000}" name="Client ID"/>
    <tableColumn id="2" xr3:uid="{00000000-0010-0000-0000-000002000000}" name="Company"/>
    <tableColumn id="3" xr3:uid="{00000000-0010-0000-0000-000003000000}" name="Contact Name"/>
    <tableColumn id="4" xr3:uid="{00000000-0010-0000-0000-000004000000}" name="Email"/>
    <tableColumn id="5" xr3:uid="{00000000-0010-0000-0000-000005000000}" name="Phone"/>
    <tableColumn id="6" xr3:uid="{00000000-0010-0000-0000-000006000000}" name="Stage"/>
    <tableColumn id="7" xr3:uid="{00000000-0010-0000-0000-000007000000}" name="Owner"/>
    <tableColumn id="8" xr3:uid="{00000000-0010-0000-0000-000008000000}" name="Status"/>
    <tableColumn id="9" xr3:uid="{00000000-0010-0000-0000-000009000000}" name="Segment"/>
    <tableColumn id="10" xr3:uid="{00000000-0010-0000-0000-00000A000000}" name="Est. Value"/>
    <tableColumn id="11" xr3:uid="{00000000-0010-0000-0000-00000B000000}" name="Last Contact"/>
    <tableColumn id="12" xr3:uid="{00000000-0010-0000-0000-00000C000000}" name="Next Follow-Up"/>
    <tableColumn id="13" xr3:uid="{00000000-0010-0000-0000-00000D000000}" name="Days Since"/>
    <tableColumn id="14" xr3:uid="{00000000-0010-0000-0000-00000E000000}" name="Activities"/>
    <tableColumn id="15" xr3:uid="{00000000-0010-0000-0000-00000F000000}" name="Follow-Up Status"/>
    <tableColumn id="16" xr3:uid="{00000000-0010-0000-0000-000010000000}" name="_OverdueDays"/>
    <tableColumn id="17" xr3:uid="{00000000-0010-0000-0000-000011000000}" name="_AtRiskValue"/>
    <tableColumn id="18" xr3:uid="{00000000-0010-0000-0000-000012000000}" name="_NoContactDay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InteractionLog" displayName="InteractionLog" ref="A1:F41">
  <autoFilter ref="A1:F41" xr:uid="{00000000-0009-0000-0100-000002000000}"/>
  <tableColumns count="6">
    <tableColumn id="1" xr3:uid="{00000000-0010-0000-0100-000001000000}" name="Date"/>
    <tableColumn id="2" xr3:uid="{00000000-0010-0000-0100-000002000000}" name="Client"/>
    <tableColumn id="3" xr3:uid="{00000000-0010-0000-0100-000003000000}" name="Type"/>
    <tableColumn id="4" xr3:uid="{00000000-0010-0000-0100-000004000000}" name="Summary"/>
    <tableColumn id="5" xr3:uid="{00000000-0010-0000-0100-000005000000}" name="Owner"/>
    <tableColumn id="6" xr3:uid="{00000000-0010-0000-0100-000006000000}" name="Follow-Up Needed?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agnetclicks.com/templates/client-relationship-manager-template-for-excel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695C"/>
  </sheetPr>
  <dimension ref="B2:C42"/>
  <sheetViews>
    <sheetView showGridLines="0" zoomScale="110" workbookViewId="0"/>
  </sheetViews>
  <sheetFormatPr defaultRowHeight="14.5" x14ac:dyDescent="0.35"/>
  <cols>
    <col min="1" max="1" width="3" customWidth="1"/>
    <col min="2" max="2" width="28" customWidth="1"/>
    <col min="3" max="3" width="70" customWidth="1"/>
    <col min="4" max="4" width="3" customWidth="1"/>
  </cols>
  <sheetData>
    <row r="2" spans="2:3" x14ac:dyDescent="0.35">
      <c r="B2" s="1" t="s">
        <v>0</v>
      </c>
      <c r="C2" s="2" t="s">
        <v>1</v>
      </c>
    </row>
    <row r="4" spans="2:3" ht="34" customHeight="1" x14ac:dyDescent="0.35">
      <c r="B4" s="31" t="s">
        <v>2</v>
      </c>
      <c r="C4" s="28"/>
    </row>
    <row r="5" spans="2:3" x14ac:dyDescent="0.35">
      <c r="B5" s="3" t="s">
        <v>3</v>
      </c>
      <c r="C5" s="4" t="s">
        <v>4</v>
      </c>
    </row>
    <row r="6" spans="2:3" ht="3" customHeight="1" x14ac:dyDescent="0.35">
      <c r="B6" s="5"/>
      <c r="C6" s="5"/>
    </row>
    <row r="8" spans="2:3" ht="17" x14ac:dyDescent="0.35">
      <c r="B8" s="27" t="s">
        <v>5</v>
      </c>
      <c r="C8" s="28"/>
    </row>
    <row r="9" spans="2:3" ht="30" customHeight="1" x14ac:dyDescent="0.35">
      <c r="B9" s="30" t="s">
        <v>6</v>
      </c>
      <c r="C9" s="28"/>
    </row>
    <row r="11" spans="2:3" x14ac:dyDescent="0.35">
      <c r="B11" s="7" t="s">
        <v>7</v>
      </c>
      <c r="C11" s="8" t="s">
        <v>8</v>
      </c>
    </row>
    <row r="12" spans="2:3" x14ac:dyDescent="0.35">
      <c r="C12" s="8" t="s">
        <v>9</v>
      </c>
    </row>
    <row r="13" spans="2:3" x14ac:dyDescent="0.35">
      <c r="C13" s="8" t="s">
        <v>10</v>
      </c>
    </row>
    <row r="14" spans="2:3" x14ac:dyDescent="0.35">
      <c r="C14" s="8" t="s">
        <v>11</v>
      </c>
    </row>
    <row r="16" spans="2:3" x14ac:dyDescent="0.35">
      <c r="B16" s="9" t="s">
        <v>12</v>
      </c>
      <c r="C16" s="8" t="s">
        <v>13</v>
      </c>
    </row>
    <row r="17" spans="2:3" x14ac:dyDescent="0.35">
      <c r="B17" s="9" t="s">
        <v>14</v>
      </c>
      <c r="C17" s="8" t="s">
        <v>15</v>
      </c>
    </row>
    <row r="19" spans="2:3" ht="17" x14ac:dyDescent="0.35">
      <c r="B19" s="27" t="s">
        <v>16</v>
      </c>
      <c r="C19" s="28"/>
    </row>
    <row r="20" spans="2:3" ht="24" customHeight="1" x14ac:dyDescent="0.35">
      <c r="B20" s="9" t="s">
        <v>17</v>
      </c>
      <c r="C20" s="8" t="s">
        <v>18</v>
      </c>
    </row>
    <row r="21" spans="2:3" ht="24" customHeight="1" x14ac:dyDescent="0.35">
      <c r="B21" s="9" t="s">
        <v>19</v>
      </c>
      <c r="C21" s="8" t="s">
        <v>20</v>
      </c>
    </row>
    <row r="22" spans="2:3" ht="24" customHeight="1" x14ac:dyDescent="0.35">
      <c r="B22" s="9" t="s">
        <v>21</v>
      </c>
      <c r="C22" s="8" t="s">
        <v>22</v>
      </c>
    </row>
    <row r="23" spans="2:3" ht="24" customHeight="1" x14ac:dyDescent="0.35">
      <c r="B23" s="9" t="s">
        <v>23</v>
      </c>
      <c r="C23" s="8" t="s">
        <v>24</v>
      </c>
    </row>
    <row r="25" spans="2:3" ht="17" x14ac:dyDescent="0.35">
      <c r="B25" s="27" t="s">
        <v>25</v>
      </c>
      <c r="C25" s="28"/>
    </row>
    <row r="26" spans="2:3" x14ac:dyDescent="0.35">
      <c r="C26" s="10" t="s">
        <v>26</v>
      </c>
    </row>
    <row r="27" spans="2:3" x14ac:dyDescent="0.35">
      <c r="C27" s="10" t="s">
        <v>27</v>
      </c>
    </row>
    <row r="28" spans="2:3" x14ac:dyDescent="0.35">
      <c r="C28" s="10" t="s">
        <v>28</v>
      </c>
    </row>
    <row r="29" spans="2:3" x14ac:dyDescent="0.35">
      <c r="C29" s="10" t="s">
        <v>29</v>
      </c>
    </row>
    <row r="31" spans="2:3" ht="17" x14ac:dyDescent="0.35">
      <c r="B31" s="27" t="s">
        <v>30</v>
      </c>
      <c r="C31" s="28"/>
    </row>
    <row r="32" spans="2:3" ht="48" customHeight="1" x14ac:dyDescent="0.35">
      <c r="B32" s="29" t="s">
        <v>31</v>
      </c>
      <c r="C32" s="28"/>
    </row>
    <row r="34" spans="2:3" ht="17" x14ac:dyDescent="0.35">
      <c r="B34" s="27" t="s">
        <v>32</v>
      </c>
      <c r="C34" s="28"/>
    </row>
    <row r="35" spans="2:3" ht="44" customHeight="1" x14ac:dyDescent="0.35">
      <c r="B35" s="29" t="s">
        <v>33</v>
      </c>
      <c r="C35" s="28"/>
    </row>
    <row r="37" spans="2:3" ht="17" x14ac:dyDescent="0.35">
      <c r="B37" s="27" t="s">
        <v>34</v>
      </c>
      <c r="C37" s="28"/>
    </row>
    <row r="38" spans="2:3" x14ac:dyDescent="0.35">
      <c r="B38" s="10" t="s">
        <v>35</v>
      </c>
      <c r="C38" s="11" t="s">
        <v>36</v>
      </c>
    </row>
    <row r="41" spans="2:3" ht="2" customHeight="1" x14ac:dyDescent="0.35">
      <c r="B41" s="12"/>
      <c r="C41" s="12"/>
    </row>
    <row r="42" spans="2:3" x14ac:dyDescent="0.35">
      <c r="B42" s="2" t="s">
        <v>37</v>
      </c>
      <c r="C42" s="13" t="s">
        <v>38</v>
      </c>
    </row>
  </sheetData>
  <mergeCells count="10">
    <mergeCell ref="B9:C9"/>
    <mergeCell ref="B8:C8"/>
    <mergeCell ref="B35:C35"/>
    <mergeCell ref="B4:C4"/>
    <mergeCell ref="B25:C25"/>
    <mergeCell ref="B19:C19"/>
    <mergeCell ref="B34:C34"/>
    <mergeCell ref="B37:C37"/>
    <mergeCell ref="B32:C32"/>
    <mergeCell ref="B31:C31"/>
  </mergeCells>
  <hyperlinks>
    <hyperlink ref="C38" r:id="rId1" xr:uid="{00000000-0004-0000-0000-000000000000}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97B"/>
  </sheetPr>
  <dimension ref="A1:R31"/>
  <sheetViews>
    <sheetView showGridLines="0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10" customWidth="1"/>
    <col min="2" max="2" width="20" customWidth="1"/>
    <col min="3" max="3" width="18" customWidth="1"/>
    <col min="4" max="4" width="26" customWidth="1"/>
    <col min="5" max="6" width="13" customWidth="1"/>
    <col min="7" max="8" width="11" customWidth="1"/>
    <col min="9" max="10" width="12" customWidth="1"/>
    <col min="11" max="12" width="13" customWidth="1"/>
    <col min="13" max="13" width="11" customWidth="1"/>
    <col min="14" max="14" width="10" customWidth="1"/>
    <col min="15" max="15" width="16" customWidth="1"/>
    <col min="16" max="18" width="1" hidden="1" customWidth="1"/>
  </cols>
  <sheetData>
    <row r="1" spans="1:18" ht="203" x14ac:dyDescent="0.35">
      <c r="A1" s="14" t="s">
        <v>39</v>
      </c>
      <c r="B1" s="14" t="s">
        <v>40</v>
      </c>
      <c r="C1" s="14" t="s">
        <v>41</v>
      </c>
      <c r="D1" s="14" t="s">
        <v>42</v>
      </c>
      <c r="E1" s="14" t="s">
        <v>43</v>
      </c>
      <c r="F1" s="14" t="s">
        <v>44</v>
      </c>
      <c r="G1" s="14" t="s">
        <v>45</v>
      </c>
      <c r="H1" s="14" t="s">
        <v>46</v>
      </c>
      <c r="I1" s="14" t="s">
        <v>47</v>
      </c>
      <c r="J1" s="14" t="s">
        <v>48</v>
      </c>
      <c r="K1" s="14" t="s">
        <v>49</v>
      </c>
      <c r="L1" s="14" t="s">
        <v>50</v>
      </c>
      <c r="M1" s="14" t="s">
        <v>51</v>
      </c>
      <c r="N1" s="14" t="s">
        <v>52</v>
      </c>
      <c r="O1" s="14" t="s">
        <v>53</v>
      </c>
      <c r="P1" s="14" t="s">
        <v>54</v>
      </c>
      <c r="Q1" s="14" t="s">
        <v>55</v>
      </c>
      <c r="R1" s="14" t="s">
        <v>56</v>
      </c>
    </row>
    <row r="2" spans="1:18" x14ac:dyDescent="0.35">
      <c r="A2" s="15" t="s">
        <v>57</v>
      </c>
      <c r="B2" s="15" t="s">
        <v>58</v>
      </c>
      <c r="C2" s="15" t="s">
        <v>59</v>
      </c>
      <c r="D2" s="15" t="s">
        <v>60</v>
      </c>
      <c r="E2" s="15" t="s">
        <v>61</v>
      </c>
      <c r="F2" s="15" t="s">
        <v>62</v>
      </c>
      <c r="G2" s="15" t="s">
        <v>63</v>
      </c>
      <c r="H2" s="15" t="s">
        <v>64</v>
      </c>
      <c r="I2" s="15" t="s">
        <v>65</v>
      </c>
      <c r="J2" s="16">
        <v>12500</v>
      </c>
      <c r="K2" s="17">
        <v>46122</v>
      </c>
      <c r="L2" s="17">
        <v>46140</v>
      </c>
      <c r="M2" s="18">
        <f t="shared" ref="M2:M31" ca="1" si="0">IFERROR(TODAY()-K2,"")</f>
        <v>18</v>
      </c>
      <c r="N2" s="18">
        <f>IFERROR(COUNTIF('Interaction Log'!B:B,B2),0)</f>
        <v>1</v>
      </c>
      <c r="O2" s="18" t="str">
        <f t="shared" ref="O2:O31" ca="1" si="1">IFERROR(IF(L2="","No Follow-Up Set",IF(L2&lt;TODAY(),"Overdue",IF(L2&lt;=TODAY()+3,"Due Soon","On Track"))),"")</f>
        <v>Due Soon</v>
      </c>
      <c r="P2" s="18" t="str">
        <f t="shared" ref="P2:P31" ca="1" si="2">IF(O2="Overdue",M2,"")</f>
        <v/>
      </c>
      <c r="Q2" s="18" t="str">
        <f t="shared" ref="Q2:Q31" si="3">IF(H2="At Risk",J2,"")</f>
        <v/>
      </c>
      <c r="R2" s="18">
        <f t="shared" ref="R2:R31" ca="1" si="4">IF(AND(H2&lt;&gt;"Archived",H2&lt;&gt;"",M2&lt;&gt;""),M2,"")</f>
        <v>18</v>
      </c>
    </row>
    <row r="3" spans="1:18" x14ac:dyDescent="0.35">
      <c r="A3" s="15" t="s">
        <v>66</v>
      </c>
      <c r="B3" s="15" t="s">
        <v>67</v>
      </c>
      <c r="C3" s="15" t="s">
        <v>68</v>
      </c>
      <c r="D3" s="15" t="s">
        <v>69</v>
      </c>
      <c r="E3" s="15" t="s">
        <v>70</v>
      </c>
      <c r="F3" s="15" t="s">
        <v>71</v>
      </c>
      <c r="G3" s="15" t="s">
        <v>72</v>
      </c>
      <c r="H3" s="15" t="s">
        <v>64</v>
      </c>
      <c r="I3" s="15" t="s">
        <v>73</v>
      </c>
      <c r="J3" s="16">
        <v>28000</v>
      </c>
      <c r="K3" s="17">
        <v>46127</v>
      </c>
      <c r="L3" s="17">
        <v>46138</v>
      </c>
      <c r="M3" s="18">
        <f t="shared" ca="1" si="0"/>
        <v>13</v>
      </c>
      <c r="N3" s="18">
        <f>IFERROR(COUNTIF('Interaction Log'!B:B,B3),0)</f>
        <v>1</v>
      </c>
      <c r="O3" s="18" t="str">
        <f t="shared" ca="1" si="1"/>
        <v>Overdue</v>
      </c>
      <c r="P3" s="18">
        <f t="shared" ca="1" si="2"/>
        <v>13</v>
      </c>
      <c r="Q3" s="18" t="str">
        <f t="shared" si="3"/>
        <v/>
      </c>
      <c r="R3" s="18">
        <f t="shared" ca="1" si="4"/>
        <v>13</v>
      </c>
    </row>
    <row r="4" spans="1:18" x14ac:dyDescent="0.35">
      <c r="A4" s="15" t="s">
        <v>74</v>
      </c>
      <c r="B4" s="15" t="s">
        <v>75</v>
      </c>
      <c r="C4" s="15" t="s">
        <v>76</v>
      </c>
      <c r="D4" s="15" t="s">
        <v>77</v>
      </c>
      <c r="E4" s="15" t="s">
        <v>78</v>
      </c>
      <c r="F4" s="15" t="s">
        <v>79</v>
      </c>
      <c r="G4" s="15" t="s">
        <v>80</v>
      </c>
      <c r="H4" s="15" t="s">
        <v>64</v>
      </c>
      <c r="I4" s="15" t="s">
        <v>81</v>
      </c>
      <c r="J4" s="16">
        <v>6000</v>
      </c>
      <c r="K4" s="17">
        <v>46130</v>
      </c>
      <c r="L4" s="17">
        <v>46141</v>
      </c>
      <c r="M4" s="18">
        <f t="shared" ca="1" si="0"/>
        <v>10</v>
      </c>
      <c r="N4" s="18">
        <f>IFERROR(COUNTIF('Interaction Log'!B:B,B4),0)</f>
        <v>1</v>
      </c>
      <c r="O4" s="18" t="str">
        <f t="shared" ca="1" si="1"/>
        <v>Due Soon</v>
      </c>
      <c r="P4" s="18" t="str">
        <f t="shared" ca="1" si="2"/>
        <v/>
      </c>
      <c r="Q4" s="18" t="str">
        <f t="shared" si="3"/>
        <v/>
      </c>
      <c r="R4" s="18">
        <f t="shared" ca="1" si="4"/>
        <v>10</v>
      </c>
    </row>
    <row r="5" spans="1:18" x14ac:dyDescent="0.35">
      <c r="A5" s="15" t="s">
        <v>82</v>
      </c>
      <c r="B5" s="15" t="s">
        <v>83</v>
      </c>
      <c r="C5" s="15" t="s">
        <v>84</v>
      </c>
      <c r="D5" s="15" t="s">
        <v>85</v>
      </c>
      <c r="E5" s="15" t="s">
        <v>86</v>
      </c>
      <c r="F5" s="15" t="s">
        <v>87</v>
      </c>
      <c r="G5" s="15" t="s">
        <v>88</v>
      </c>
      <c r="H5" s="15" t="s">
        <v>64</v>
      </c>
      <c r="I5" s="15" t="s">
        <v>65</v>
      </c>
      <c r="J5" s="16">
        <v>45000</v>
      </c>
      <c r="K5" s="17">
        <v>46132</v>
      </c>
      <c r="L5" s="17">
        <v>46136</v>
      </c>
      <c r="M5" s="18">
        <f t="shared" ca="1" si="0"/>
        <v>8</v>
      </c>
      <c r="N5" s="18">
        <f>IFERROR(COUNTIF('Interaction Log'!B:B,B5),0)</f>
        <v>1</v>
      </c>
      <c r="O5" s="18" t="str">
        <f t="shared" ca="1" si="1"/>
        <v>Overdue</v>
      </c>
      <c r="P5" s="18">
        <f t="shared" ca="1" si="2"/>
        <v>8</v>
      </c>
      <c r="Q5" s="18" t="str">
        <f t="shared" si="3"/>
        <v/>
      </c>
      <c r="R5" s="18">
        <f t="shared" ca="1" si="4"/>
        <v>8</v>
      </c>
    </row>
    <row r="6" spans="1:18" x14ac:dyDescent="0.35">
      <c r="A6" s="15" t="s">
        <v>89</v>
      </c>
      <c r="B6" s="15" t="s">
        <v>90</v>
      </c>
      <c r="C6" s="15" t="s">
        <v>91</v>
      </c>
      <c r="D6" s="15" t="s">
        <v>92</v>
      </c>
      <c r="E6" s="15" t="s">
        <v>93</v>
      </c>
      <c r="F6" s="15" t="s">
        <v>94</v>
      </c>
      <c r="G6" s="15" t="s">
        <v>63</v>
      </c>
      <c r="H6" s="15" t="s">
        <v>64</v>
      </c>
      <c r="I6" s="15" t="s">
        <v>73</v>
      </c>
      <c r="J6" s="16">
        <v>18500</v>
      </c>
      <c r="K6" s="17">
        <v>46113</v>
      </c>
      <c r="L6" s="17"/>
      <c r="M6" s="18">
        <f t="shared" ca="1" si="0"/>
        <v>27</v>
      </c>
      <c r="N6" s="18">
        <f>IFERROR(COUNTIF('Interaction Log'!B:B,B6),0)</f>
        <v>0</v>
      </c>
      <c r="O6" s="18" t="str">
        <f t="shared" ca="1" si="1"/>
        <v>No Follow-Up Set</v>
      </c>
      <c r="P6" s="18" t="str">
        <f t="shared" ca="1" si="2"/>
        <v/>
      </c>
      <c r="Q6" s="18" t="str">
        <f t="shared" si="3"/>
        <v/>
      </c>
      <c r="R6" s="18">
        <f t="shared" ca="1" si="4"/>
        <v>27</v>
      </c>
    </row>
    <row r="7" spans="1:18" x14ac:dyDescent="0.35">
      <c r="A7" s="15" t="s">
        <v>95</v>
      </c>
      <c r="B7" s="15" t="s">
        <v>96</v>
      </c>
      <c r="C7" s="15" t="s">
        <v>97</v>
      </c>
      <c r="D7" s="15" t="s">
        <v>98</v>
      </c>
      <c r="E7" s="15" t="s">
        <v>99</v>
      </c>
      <c r="F7" s="15" t="s">
        <v>62</v>
      </c>
      <c r="G7" s="15" t="s">
        <v>100</v>
      </c>
      <c r="H7" s="15" t="s">
        <v>101</v>
      </c>
      <c r="I7" s="15" t="s">
        <v>81</v>
      </c>
      <c r="J7" s="16">
        <v>9200</v>
      </c>
      <c r="K7" s="17">
        <v>46091</v>
      </c>
      <c r="L7" s="17">
        <v>46137</v>
      </c>
      <c r="M7" s="18">
        <f t="shared" ca="1" si="0"/>
        <v>49</v>
      </c>
      <c r="N7" s="18">
        <f>IFERROR(COUNTIF('Interaction Log'!B:B,B7),0)</f>
        <v>1</v>
      </c>
      <c r="O7" s="18" t="str">
        <f t="shared" ca="1" si="1"/>
        <v>Overdue</v>
      </c>
      <c r="P7" s="18">
        <f t="shared" ca="1" si="2"/>
        <v>49</v>
      </c>
      <c r="Q7" s="18">
        <f t="shared" si="3"/>
        <v>9200</v>
      </c>
      <c r="R7" s="18">
        <f t="shared" ca="1" si="4"/>
        <v>49</v>
      </c>
    </row>
    <row r="8" spans="1:18" x14ac:dyDescent="0.35">
      <c r="A8" s="15" t="s">
        <v>102</v>
      </c>
      <c r="B8" s="15" t="s">
        <v>103</v>
      </c>
      <c r="C8" s="15" t="s">
        <v>104</v>
      </c>
      <c r="D8" s="15" t="s">
        <v>105</v>
      </c>
      <c r="E8" s="15" t="s">
        <v>106</v>
      </c>
      <c r="F8" s="15" t="s">
        <v>71</v>
      </c>
      <c r="G8" s="15" t="s">
        <v>72</v>
      </c>
      <c r="H8" s="15" t="s">
        <v>64</v>
      </c>
      <c r="I8" s="15" t="s">
        <v>73</v>
      </c>
      <c r="J8" s="16">
        <v>22000</v>
      </c>
      <c r="K8" s="17">
        <v>46131</v>
      </c>
      <c r="L8" s="17">
        <v>46142</v>
      </c>
      <c r="M8" s="18">
        <f t="shared" ca="1" si="0"/>
        <v>9</v>
      </c>
      <c r="N8" s="18">
        <f>IFERROR(COUNTIF('Interaction Log'!B:B,B8),0)</f>
        <v>0</v>
      </c>
      <c r="O8" s="18" t="str">
        <f t="shared" ca="1" si="1"/>
        <v>Due Soon</v>
      </c>
      <c r="P8" s="18" t="str">
        <f t="shared" ca="1" si="2"/>
        <v/>
      </c>
      <c r="Q8" s="18" t="str">
        <f t="shared" si="3"/>
        <v/>
      </c>
      <c r="R8" s="18">
        <f t="shared" ca="1" si="4"/>
        <v>9</v>
      </c>
    </row>
    <row r="9" spans="1:18" x14ac:dyDescent="0.35">
      <c r="A9" s="15" t="s">
        <v>107</v>
      </c>
      <c r="B9" s="15" t="s">
        <v>108</v>
      </c>
      <c r="C9" s="15" t="s">
        <v>109</v>
      </c>
      <c r="D9" s="15" t="s">
        <v>110</v>
      </c>
      <c r="E9" s="15" t="s">
        <v>111</v>
      </c>
      <c r="F9" s="15" t="s">
        <v>112</v>
      </c>
      <c r="G9" s="15" t="s">
        <v>80</v>
      </c>
      <c r="H9" s="15" t="s">
        <v>113</v>
      </c>
      <c r="I9" s="15" t="s">
        <v>114</v>
      </c>
      <c r="J9" s="16">
        <v>7500</v>
      </c>
      <c r="K9" s="17">
        <v>46096</v>
      </c>
      <c r="L9" s="17"/>
      <c r="M9" s="18">
        <f t="shared" ca="1" si="0"/>
        <v>44</v>
      </c>
      <c r="N9" s="18">
        <f>IFERROR(COUNTIF('Interaction Log'!B:B,B9),0)</f>
        <v>0</v>
      </c>
      <c r="O9" s="18" t="str">
        <f t="shared" ca="1" si="1"/>
        <v>No Follow-Up Set</v>
      </c>
      <c r="P9" s="18" t="str">
        <f t="shared" ca="1" si="2"/>
        <v/>
      </c>
      <c r="Q9" s="18" t="str">
        <f t="shared" si="3"/>
        <v/>
      </c>
      <c r="R9" s="18" t="str">
        <f t="shared" ca="1" si="4"/>
        <v/>
      </c>
    </row>
    <row r="10" spans="1:18" x14ac:dyDescent="0.35">
      <c r="A10" s="15" t="s">
        <v>115</v>
      </c>
      <c r="B10" s="15" t="s">
        <v>116</v>
      </c>
      <c r="C10" s="15" t="s">
        <v>117</v>
      </c>
      <c r="D10" s="15" t="s">
        <v>118</v>
      </c>
      <c r="E10" s="15" t="s">
        <v>119</v>
      </c>
      <c r="F10" s="15" t="s">
        <v>62</v>
      </c>
      <c r="G10" s="15" t="s">
        <v>88</v>
      </c>
      <c r="H10" s="15" t="s">
        <v>64</v>
      </c>
      <c r="I10" s="15" t="s">
        <v>65</v>
      </c>
      <c r="J10" s="16">
        <v>35000</v>
      </c>
      <c r="K10" s="17">
        <v>46120</v>
      </c>
      <c r="L10" s="17">
        <v>46139</v>
      </c>
      <c r="M10" s="18">
        <f t="shared" ca="1" si="0"/>
        <v>20</v>
      </c>
      <c r="N10" s="18">
        <f>IFERROR(COUNTIF('Interaction Log'!B:B,B10),0)</f>
        <v>1</v>
      </c>
      <c r="O10" s="18" t="str">
        <f t="shared" ca="1" si="1"/>
        <v>Overdue</v>
      </c>
      <c r="P10" s="18">
        <f t="shared" ca="1" si="2"/>
        <v>20</v>
      </c>
      <c r="Q10" s="18" t="str">
        <f t="shared" si="3"/>
        <v/>
      </c>
      <c r="R10" s="18">
        <f t="shared" ca="1" si="4"/>
        <v>20</v>
      </c>
    </row>
    <row r="11" spans="1:18" x14ac:dyDescent="0.35">
      <c r="A11" s="15" t="s">
        <v>120</v>
      </c>
      <c r="B11" s="15" t="s">
        <v>121</v>
      </c>
      <c r="C11" s="15" t="s">
        <v>122</v>
      </c>
      <c r="D11" s="15" t="s">
        <v>123</v>
      </c>
      <c r="E11" s="15" t="s">
        <v>124</v>
      </c>
      <c r="F11" s="15" t="s">
        <v>79</v>
      </c>
      <c r="G11" s="15" t="s">
        <v>63</v>
      </c>
      <c r="H11" s="15" t="s">
        <v>64</v>
      </c>
      <c r="I11" s="15" t="s">
        <v>114</v>
      </c>
      <c r="J11" s="16">
        <v>14000</v>
      </c>
      <c r="K11" s="17">
        <v>46134</v>
      </c>
      <c r="L11" s="17">
        <v>46143</v>
      </c>
      <c r="M11" s="18">
        <f t="shared" ca="1" si="0"/>
        <v>6</v>
      </c>
      <c r="N11" s="18">
        <f>IFERROR(COUNTIF('Interaction Log'!B:B,B11),0)</f>
        <v>1</v>
      </c>
      <c r="O11" s="18" t="str">
        <f t="shared" ca="1" si="1"/>
        <v>Due Soon</v>
      </c>
      <c r="P11" s="18" t="str">
        <f t="shared" ca="1" si="2"/>
        <v/>
      </c>
      <c r="Q11" s="18" t="str">
        <f t="shared" si="3"/>
        <v/>
      </c>
      <c r="R11" s="18">
        <f t="shared" ca="1" si="4"/>
        <v>6</v>
      </c>
    </row>
    <row r="12" spans="1:18" x14ac:dyDescent="0.35">
      <c r="A12" s="15" t="s">
        <v>125</v>
      </c>
      <c r="B12" s="15" t="s">
        <v>126</v>
      </c>
      <c r="C12" s="15" t="s">
        <v>127</v>
      </c>
      <c r="D12" s="15" t="s">
        <v>128</v>
      </c>
      <c r="E12" s="15" t="s">
        <v>129</v>
      </c>
      <c r="F12" s="15" t="s">
        <v>87</v>
      </c>
      <c r="G12" s="15" t="s">
        <v>72</v>
      </c>
      <c r="H12" s="15" t="s">
        <v>64</v>
      </c>
      <c r="I12" s="15" t="s">
        <v>81</v>
      </c>
      <c r="J12" s="16">
        <v>27500</v>
      </c>
      <c r="K12" s="17">
        <v>46103</v>
      </c>
      <c r="L12" s="17">
        <v>46138</v>
      </c>
      <c r="M12" s="18">
        <f t="shared" ca="1" si="0"/>
        <v>37</v>
      </c>
      <c r="N12" s="18">
        <f>IFERROR(COUNTIF('Interaction Log'!B:B,B12),0)</f>
        <v>1</v>
      </c>
      <c r="O12" s="18" t="str">
        <f t="shared" ca="1" si="1"/>
        <v>Overdue</v>
      </c>
      <c r="P12" s="18">
        <f t="shared" ca="1" si="2"/>
        <v>37</v>
      </c>
      <c r="Q12" s="18" t="str">
        <f t="shared" si="3"/>
        <v/>
      </c>
      <c r="R12" s="18">
        <f t="shared" ca="1" si="4"/>
        <v>37</v>
      </c>
    </row>
    <row r="13" spans="1:18" x14ac:dyDescent="0.35">
      <c r="A13" s="15" t="s">
        <v>130</v>
      </c>
      <c r="B13" s="15" t="s">
        <v>131</v>
      </c>
      <c r="C13" s="15" t="s">
        <v>132</v>
      </c>
      <c r="D13" s="15" t="s">
        <v>133</v>
      </c>
      <c r="E13" s="15" t="s">
        <v>134</v>
      </c>
      <c r="F13" s="15" t="s">
        <v>79</v>
      </c>
      <c r="G13" s="15" t="s">
        <v>100</v>
      </c>
      <c r="H13" s="15" t="s">
        <v>64</v>
      </c>
      <c r="I13" s="15" t="s">
        <v>73</v>
      </c>
      <c r="J13" s="16">
        <v>5200</v>
      </c>
      <c r="K13" s="17">
        <v>46132</v>
      </c>
      <c r="L13" s="17">
        <v>46140</v>
      </c>
      <c r="M13" s="18">
        <f t="shared" ca="1" si="0"/>
        <v>8</v>
      </c>
      <c r="N13" s="18">
        <f>IFERROR(COUNTIF('Interaction Log'!B:B,B13),0)</f>
        <v>0</v>
      </c>
      <c r="O13" s="18" t="str">
        <f t="shared" ca="1" si="1"/>
        <v>Due Soon</v>
      </c>
      <c r="P13" s="18" t="str">
        <f t="shared" ca="1" si="2"/>
        <v/>
      </c>
      <c r="Q13" s="18" t="str">
        <f t="shared" si="3"/>
        <v/>
      </c>
      <c r="R13" s="18">
        <f t="shared" ca="1" si="4"/>
        <v>8</v>
      </c>
    </row>
    <row r="14" spans="1:18" x14ac:dyDescent="0.35">
      <c r="A14" s="15" t="s">
        <v>135</v>
      </c>
      <c r="B14" s="15" t="s">
        <v>136</v>
      </c>
      <c r="C14" s="15" t="s">
        <v>137</v>
      </c>
      <c r="D14" s="15" t="s">
        <v>138</v>
      </c>
      <c r="E14" s="15" t="s">
        <v>139</v>
      </c>
      <c r="F14" s="15" t="s">
        <v>71</v>
      </c>
      <c r="G14" s="15" t="s">
        <v>80</v>
      </c>
      <c r="H14" s="15" t="s">
        <v>64</v>
      </c>
      <c r="I14" s="15" t="s">
        <v>65</v>
      </c>
      <c r="J14" s="16">
        <v>38000</v>
      </c>
      <c r="K14" s="17">
        <v>46114</v>
      </c>
      <c r="L14" s="17">
        <v>46141</v>
      </c>
      <c r="M14" s="18">
        <f t="shared" ca="1" si="0"/>
        <v>26</v>
      </c>
      <c r="N14" s="18">
        <f>IFERROR(COUNTIF('Interaction Log'!B:B,B14),0)</f>
        <v>1</v>
      </c>
      <c r="O14" s="18" t="str">
        <f t="shared" ca="1" si="1"/>
        <v>Due Soon</v>
      </c>
      <c r="P14" s="18" t="str">
        <f t="shared" ca="1" si="2"/>
        <v/>
      </c>
      <c r="Q14" s="18" t="str">
        <f t="shared" si="3"/>
        <v/>
      </c>
      <c r="R14" s="18">
        <f t="shared" ca="1" si="4"/>
        <v>26</v>
      </c>
    </row>
    <row r="15" spans="1:18" x14ac:dyDescent="0.35">
      <c r="A15" s="15" t="s">
        <v>140</v>
      </c>
      <c r="B15" s="15" t="s">
        <v>141</v>
      </c>
      <c r="C15" s="15" t="s">
        <v>142</v>
      </c>
      <c r="D15" s="15" t="s">
        <v>143</v>
      </c>
      <c r="E15" s="15" t="s">
        <v>144</v>
      </c>
      <c r="F15" s="15" t="s">
        <v>62</v>
      </c>
      <c r="G15" s="15" t="s">
        <v>88</v>
      </c>
      <c r="H15" s="15" t="s">
        <v>101</v>
      </c>
      <c r="I15" s="15" t="s">
        <v>81</v>
      </c>
      <c r="J15" s="16">
        <v>11500</v>
      </c>
      <c r="K15" s="17">
        <v>46086</v>
      </c>
      <c r="L15" s="17">
        <v>46134</v>
      </c>
      <c r="M15" s="18">
        <f t="shared" ca="1" si="0"/>
        <v>54</v>
      </c>
      <c r="N15" s="18">
        <f>IFERROR(COUNTIF('Interaction Log'!B:B,B15),0)</f>
        <v>1</v>
      </c>
      <c r="O15" s="18" t="str">
        <f t="shared" ca="1" si="1"/>
        <v>Overdue</v>
      </c>
      <c r="P15" s="18">
        <f t="shared" ca="1" si="2"/>
        <v>54</v>
      </c>
      <c r="Q15" s="18">
        <f t="shared" si="3"/>
        <v>11500</v>
      </c>
      <c r="R15" s="18">
        <f t="shared" ca="1" si="4"/>
        <v>54</v>
      </c>
    </row>
    <row r="16" spans="1:18" x14ac:dyDescent="0.35">
      <c r="A16" s="15" t="s">
        <v>145</v>
      </c>
      <c r="B16" s="15" t="s">
        <v>146</v>
      </c>
      <c r="C16" s="15" t="s">
        <v>147</v>
      </c>
      <c r="D16" s="15" t="s">
        <v>148</v>
      </c>
      <c r="E16" s="15" t="s">
        <v>149</v>
      </c>
      <c r="F16" s="15" t="s">
        <v>79</v>
      </c>
      <c r="G16" s="15" t="s">
        <v>63</v>
      </c>
      <c r="H16" s="15" t="s">
        <v>64</v>
      </c>
      <c r="I16" s="15" t="s">
        <v>114</v>
      </c>
      <c r="J16" s="16">
        <v>8900</v>
      </c>
      <c r="K16" s="17">
        <v>46133</v>
      </c>
      <c r="L16" s="17">
        <v>46142</v>
      </c>
      <c r="M16" s="18">
        <f t="shared" ca="1" si="0"/>
        <v>7</v>
      </c>
      <c r="N16" s="18">
        <f>IFERROR(COUNTIF('Interaction Log'!B:B,B16),0)</f>
        <v>1</v>
      </c>
      <c r="O16" s="18" t="str">
        <f t="shared" ca="1" si="1"/>
        <v>Due Soon</v>
      </c>
      <c r="P16" s="18" t="str">
        <f t="shared" ca="1" si="2"/>
        <v/>
      </c>
      <c r="Q16" s="18" t="str">
        <f t="shared" si="3"/>
        <v/>
      </c>
      <c r="R16" s="18">
        <f t="shared" ca="1" si="4"/>
        <v>7</v>
      </c>
    </row>
    <row r="17" spans="1:18" x14ac:dyDescent="0.35">
      <c r="A17" s="15" t="s">
        <v>150</v>
      </c>
      <c r="B17" s="15" t="s">
        <v>151</v>
      </c>
      <c r="C17" s="15" t="s">
        <v>152</v>
      </c>
      <c r="D17" s="15" t="s">
        <v>153</v>
      </c>
      <c r="E17" s="15" t="s">
        <v>154</v>
      </c>
      <c r="F17" s="15" t="s">
        <v>87</v>
      </c>
      <c r="G17" s="15" t="s">
        <v>72</v>
      </c>
      <c r="H17" s="15" t="s">
        <v>101</v>
      </c>
      <c r="I17" s="15" t="s">
        <v>65</v>
      </c>
      <c r="J17" s="16">
        <v>62000</v>
      </c>
      <c r="K17" s="17">
        <v>46127</v>
      </c>
      <c r="L17" s="17">
        <v>46137</v>
      </c>
      <c r="M17" s="18">
        <f t="shared" ca="1" si="0"/>
        <v>13</v>
      </c>
      <c r="N17" s="18">
        <f>IFERROR(COUNTIF('Interaction Log'!B:B,B17),0)</f>
        <v>1</v>
      </c>
      <c r="O17" s="18" t="str">
        <f t="shared" ca="1" si="1"/>
        <v>Overdue</v>
      </c>
      <c r="P17" s="18">
        <f t="shared" ca="1" si="2"/>
        <v>13</v>
      </c>
      <c r="Q17" s="18">
        <f t="shared" si="3"/>
        <v>62000</v>
      </c>
      <c r="R17" s="18">
        <f t="shared" ca="1" si="4"/>
        <v>13</v>
      </c>
    </row>
    <row r="18" spans="1:18" x14ac:dyDescent="0.35">
      <c r="A18" s="15" t="s">
        <v>155</v>
      </c>
      <c r="B18" s="15" t="s">
        <v>156</v>
      </c>
      <c r="C18" s="15" t="s">
        <v>157</v>
      </c>
      <c r="D18" s="15" t="s">
        <v>158</v>
      </c>
      <c r="E18" s="15" t="s">
        <v>159</v>
      </c>
      <c r="F18" s="15" t="s">
        <v>94</v>
      </c>
      <c r="G18" s="15" t="s">
        <v>100</v>
      </c>
      <c r="H18" s="15" t="s">
        <v>64</v>
      </c>
      <c r="I18" s="15" t="s">
        <v>73</v>
      </c>
      <c r="J18" s="16">
        <v>31000</v>
      </c>
      <c r="K18" s="17">
        <v>46109</v>
      </c>
      <c r="L18" s="17"/>
      <c r="M18" s="18">
        <f t="shared" ca="1" si="0"/>
        <v>31</v>
      </c>
      <c r="N18" s="18">
        <f>IFERROR(COUNTIF('Interaction Log'!B:B,B18),0)</f>
        <v>1</v>
      </c>
      <c r="O18" s="18" t="str">
        <f t="shared" ca="1" si="1"/>
        <v>No Follow-Up Set</v>
      </c>
      <c r="P18" s="18" t="str">
        <f t="shared" ca="1" si="2"/>
        <v/>
      </c>
      <c r="Q18" s="18" t="str">
        <f t="shared" si="3"/>
        <v/>
      </c>
      <c r="R18" s="18">
        <f t="shared" ca="1" si="4"/>
        <v>31</v>
      </c>
    </row>
    <row r="19" spans="1:18" x14ac:dyDescent="0.35">
      <c r="A19" s="15" t="s">
        <v>160</v>
      </c>
      <c r="B19" s="15" t="s">
        <v>161</v>
      </c>
      <c r="C19" s="15" t="s">
        <v>162</v>
      </c>
      <c r="D19" s="15" t="s">
        <v>163</v>
      </c>
      <c r="E19" s="15" t="s">
        <v>164</v>
      </c>
      <c r="F19" s="15" t="s">
        <v>165</v>
      </c>
      <c r="G19" s="15" t="s">
        <v>80</v>
      </c>
      <c r="H19" s="15" t="s">
        <v>165</v>
      </c>
      <c r="I19" s="15" t="s">
        <v>81</v>
      </c>
      <c r="J19" s="16">
        <v>4500</v>
      </c>
      <c r="K19" s="17">
        <v>46065</v>
      </c>
      <c r="L19" s="17"/>
      <c r="M19" s="18">
        <f t="shared" ca="1" si="0"/>
        <v>75</v>
      </c>
      <c r="N19" s="18">
        <f>IFERROR(COUNTIF('Interaction Log'!B:B,B19),0)</f>
        <v>0</v>
      </c>
      <c r="O19" s="18" t="str">
        <f t="shared" ca="1" si="1"/>
        <v>No Follow-Up Set</v>
      </c>
      <c r="P19" s="18" t="str">
        <f t="shared" ca="1" si="2"/>
        <v/>
      </c>
      <c r="Q19" s="18" t="str">
        <f t="shared" si="3"/>
        <v/>
      </c>
      <c r="R19" s="18">
        <f t="shared" ca="1" si="4"/>
        <v>75</v>
      </c>
    </row>
    <row r="20" spans="1:18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9"/>
      <c r="K20" s="20"/>
      <c r="L20" s="20"/>
      <c r="M20" s="18">
        <f t="shared" ca="1" si="0"/>
        <v>46140</v>
      </c>
      <c r="N20" s="18">
        <f>IFERROR(COUNTIF('Interaction Log'!B:B,B20),0)</f>
        <v>0</v>
      </c>
      <c r="O20" s="18" t="str">
        <f t="shared" ca="1" si="1"/>
        <v>No Follow-Up Set</v>
      </c>
      <c r="P20" s="18" t="str">
        <f t="shared" ca="1" si="2"/>
        <v/>
      </c>
      <c r="Q20" s="18" t="str">
        <f t="shared" si="3"/>
        <v/>
      </c>
      <c r="R20" s="18" t="str">
        <f t="shared" ca="1" si="4"/>
        <v/>
      </c>
    </row>
    <row r="21" spans="1:18" x14ac:dyDescent="0.35">
      <c r="A21" s="15"/>
      <c r="B21" s="15"/>
      <c r="C21" s="15"/>
      <c r="D21" s="15"/>
      <c r="E21" s="15"/>
      <c r="F21" s="15"/>
      <c r="G21" s="15"/>
      <c r="H21" s="15"/>
      <c r="I21" s="15"/>
      <c r="J21" s="19"/>
      <c r="K21" s="20"/>
      <c r="L21" s="20"/>
      <c r="M21" s="18">
        <f t="shared" ca="1" si="0"/>
        <v>46140</v>
      </c>
      <c r="N21" s="18">
        <f>IFERROR(COUNTIF('Interaction Log'!B:B,B21),0)</f>
        <v>0</v>
      </c>
      <c r="O21" s="18" t="str">
        <f t="shared" ca="1" si="1"/>
        <v>No Follow-Up Set</v>
      </c>
      <c r="P21" s="18" t="str">
        <f t="shared" ca="1" si="2"/>
        <v/>
      </c>
      <c r="Q21" s="18" t="str">
        <f t="shared" si="3"/>
        <v/>
      </c>
      <c r="R21" s="18" t="str">
        <f t="shared" ca="1" si="4"/>
        <v/>
      </c>
    </row>
    <row r="22" spans="1:18" x14ac:dyDescent="0.35">
      <c r="A22" s="15"/>
      <c r="B22" s="15"/>
      <c r="C22" s="15"/>
      <c r="D22" s="15"/>
      <c r="E22" s="15"/>
      <c r="F22" s="15"/>
      <c r="G22" s="15"/>
      <c r="H22" s="15"/>
      <c r="I22" s="15"/>
      <c r="J22" s="19"/>
      <c r="K22" s="20"/>
      <c r="L22" s="20"/>
      <c r="M22" s="18">
        <f t="shared" ca="1" si="0"/>
        <v>46140</v>
      </c>
      <c r="N22" s="18">
        <f>IFERROR(COUNTIF('Interaction Log'!B:B,B22),0)</f>
        <v>0</v>
      </c>
      <c r="O22" s="18" t="str">
        <f t="shared" ca="1" si="1"/>
        <v>No Follow-Up Set</v>
      </c>
      <c r="P22" s="18" t="str">
        <f t="shared" ca="1" si="2"/>
        <v/>
      </c>
      <c r="Q22" s="18" t="str">
        <f t="shared" si="3"/>
        <v/>
      </c>
      <c r="R22" s="18" t="str">
        <f t="shared" ca="1" si="4"/>
        <v/>
      </c>
    </row>
    <row r="23" spans="1:18" x14ac:dyDescent="0.35">
      <c r="A23" s="15"/>
      <c r="B23" s="15"/>
      <c r="C23" s="15"/>
      <c r="D23" s="15"/>
      <c r="E23" s="15"/>
      <c r="F23" s="15"/>
      <c r="G23" s="15"/>
      <c r="H23" s="15"/>
      <c r="I23" s="15"/>
      <c r="J23" s="19"/>
      <c r="K23" s="20"/>
      <c r="L23" s="20"/>
      <c r="M23" s="18">
        <f t="shared" ca="1" si="0"/>
        <v>46140</v>
      </c>
      <c r="N23" s="18">
        <f>IFERROR(COUNTIF('Interaction Log'!B:B,B23),0)</f>
        <v>0</v>
      </c>
      <c r="O23" s="18" t="str">
        <f t="shared" ca="1" si="1"/>
        <v>No Follow-Up Set</v>
      </c>
      <c r="P23" s="18" t="str">
        <f t="shared" ca="1" si="2"/>
        <v/>
      </c>
      <c r="Q23" s="18" t="str">
        <f t="shared" si="3"/>
        <v/>
      </c>
      <c r="R23" s="18" t="str">
        <f t="shared" ca="1" si="4"/>
        <v/>
      </c>
    </row>
    <row r="24" spans="1:18" x14ac:dyDescent="0.35">
      <c r="A24" s="15"/>
      <c r="B24" s="15"/>
      <c r="C24" s="15"/>
      <c r="D24" s="15"/>
      <c r="E24" s="15"/>
      <c r="F24" s="15"/>
      <c r="G24" s="15"/>
      <c r="H24" s="15"/>
      <c r="I24" s="15"/>
      <c r="J24" s="19"/>
      <c r="K24" s="20"/>
      <c r="L24" s="20"/>
      <c r="M24" s="18">
        <f t="shared" ca="1" si="0"/>
        <v>46140</v>
      </c>
      <c r="N24" s="18">
        <f>IFERROR(COUNTIF('Interaction Log'!B:B,B24),0)</f>
        <v>0</v>
      </c>
      <c r="O24" s="18" t="str">
        <f t="shared" ca="1" si="1"/>
        <v>No Follow-Up Set</v>
      </c>
      <c r="P24" s="18" t="str">
        <f t="shared" ca="1" si="2"/>
        <v/>
      </c>
      <c r="Q24" s="18" t="str">
        <f t="shared" si="3"/>
        <v/>
      </c>
      <c r="R24" s="18" t="str">
        <f t="shared" ca="1" si="4"/>
        <v/>
      </c>
    </row>
    <row r="25" spans="1:18" x14ac:dyDescent="0.35">
      <c r="A25" s="15"/>
      <c r="B25" s="15"/>
      <c r="C25" s="15"/>
      <c r="D25" s="15"/>
      <c r="E25" s="15"/>
      <c r="F25" s="15"/>
      <c r="G25" s="15"/>
      <c r="H25" s="15"/>
      <c r="I25" s="15"/>
      <c r="J25" s="19"/>
      <c r="K25" s="20"/>
      <c r="L25" s="20"/>
      <c r="M25" s="18">
        <f t="shared" ca="1" si="0"/>
        <v>46140</v>
      </c>
      <c r="N25" s="18">
        <f>IFERROR(COUNTIF('Interaction Log'!B:B,B25),0)</f>
        <v>0</v>
      </c>
      <c r="O25" s="18" t="str">
        <f t="shared" ca="1" si="1"/>
        <v>No Follow-Up Set</v>
      </c>
      <c r="P25" s="18" t="str">
        <f t="shared" ca="1" si="2"/>
        <v/>
      </c>
      <c r="Q25" s="18" t="str">
        <f t="shared" si="3"/>
        <v/>
      </c>
      <c r="R25" s="18" t="str">
        <f t="shared" ca="1" si="4"/>
        <v/>
      </c>
    </row>
    <row r="26" spans="1:18" x14ac:dyDescent="0.35">
      <c r="A26" s="15"/>
      <c r="B26" s="15"/>
      <c r="C26" s="15"/>
      <c r="D26" s="15"/>
      <c r="E26" s="15"/>
      <c r="F26" s="15"/>
      <c r="G26" s="15"/>
      <c r="H26" s="15"/>
      <c r="I26" s="15"/>
      <c r="J26" s="19"/>
      <c r="K26" s="20"/>
      <c r="L26" s="20"/>
      <c r="M26" s="18">
        <f t="shared" ca="1" si="0"/>
        <v>46140</v>
      </c>
      <c r="N26" s="18">
        <f>IFERROR(COUNTIF('Interaction Log'!B:B,B26),0)</f>
        <v>0</v>
      </c>
      <c r="O26" s="18" t="str">
        <f t="shared" ca="1" si="1"/>
        <v>No Follow-Up Set</v>
      </c>
      <c r="P26" s="18" t="str">
        <f t="shared" ca="1" si="2"/>
        <v/>
      </c>
      <c r="Q26" s="18" t="str">
        <f t="shared" si="3"/>
        <v/>
      </c>
      <c r="R26" s="18" t="str">
        <f t="shared" ca="1" si="4"/>
        <v/>
      </c>
    </row>
    <row r="27" spans="1:18" x14ac:dyDescent="0.35">
      <c r="A27" s="15"/>
      <c r="B27" s="15"/>
      <c r="C27" s="15"/>
      <c r="D27" s="15"/>
      <c r="E27" s="15"/>
      <c r="F27" s="15"/>
      <c r="G27" s="15"/>
      <c r="H27" s="15"/>
      <c r="I27" s="15"/>
      <c r="J27" s="19"/>
      <c r="K27" s="20"/>
      <c r="L27" s="20"/>
      <c r="M27" s="18">
        <f t="shared" ca="1" si="0"/>
        <v>46140</v>
      </c>
      <c r="N27" s="18">
        <f>IFERROR(COUNTIF('Interaction Log'!B:B,B27),0)</f>
        <v>0</v>
      </c>
      <c r="O27" s="18" t="str">
        <f t="shared" ca="1" si="1"/>
        <v>No Follow-Up Set</v>
      </c>
      <c r="P27" s="18" t="str">
        <f t="shared" ca="1" si="2"/>
        <v/>
      </c>
      <c r="Q27" s="18" t="str">
        <f t="shared" si="3"/>
        <v/>
      </c>
      <c r="R27" s="18" t="str">
        <f t="shared" ca="1" si="4"/>
        <v/>
      </c>
    </row>
    <row r="28" spans="1:18" x14ac:dyDescent="0.35">
      <c r="A28" s="15"/>
      <c r="B28" s="15"/>
      <c r="C28" s="15"/>
      <c r="D28" s="15"/>
      <c r="E28" s="15"/>
      <c r="F28" s="15"/>
      <c r="G28" s="15"/>
      <c r="H28" s="15"/>
      <c r="I28" s="15"/>
      <c r="J28" s="19"/>
      <c r="K28" s="20"/>
      <c r="L28" s="20"/>
      <c r="M28" s="18">
        <f t="shared" ca="1" si="0"/>
        <v>46140</v>
      </c>
      <c r="N28" s="18">
        <f>IFERROR(COUNTIF('Interaction Log'!B:B,B28),0)</f>
        <v>0</v>
      </c>
      <c r="O28" s="18" t="str">
        <f t="shared" ca="1" si="1"/>
        <v>No Follow-Up Set</v>
      </c>
      <c r="P28" s="18" t="str">
        <f t="shared" ca="1" si="2"/>
        <v/>
      </c>
      <c r="Q28" s="18" t="str">
        <f t="shared" si="3"/>
        <v/>
      </c>
      <c r="R28" s="18" t="str">
        <f t="shared" ca="1" si="4"/>
        <v/>
      </c>
    </row>
    <row r="29" spans="1:18" x14ac:dyDescent="0.35">
      <c r="A29" s="15"/>
      <c r="B29" s="15"/>
      <c r="C29" s="15"/>
      <c r="D29" s="15"/>
      <c r="E29" s="15"/>
      <c r="F29" s="15"/>
      <c r="G29" s="15"/>
      <c r="H29" s="15"/>
      <c r="I29" s="15"/>
      <c r="J29" s="19"/>
      <c r="K29" s="20"/>
      <c r="L29" s="20"/>
      <c r="M29" s="18">
        <f t="shared" ca="1" si="0"/>
        <v>46140</v>
      </c>
      <c r="N29" s="18">
        <f>IFERROR(COUNTIF('Interaction Log'!B:B,B29),0)</f>
        <v>0</v>
      </c>
      <c r="O29" s="18" t="str">
        <f t="shared" ca="1" si="1"/>
        <v>No Follow-Up Set</v>
      </c>
      <c r="P29" s="18" t="str">
        <f t="shared" ca="1" si="2"/>
        <v/>
      </c>
      <c r="Q29" s="18" t="str">
        <f t="shared" si="3"/>
        <v/>
      </c>
      <c r="R29" s="18" t="str">
        <f t="shared" ca="1" si="4"/>
        <v/>
      </c>
    </row>
    <row r="30" spans="1:18" x14ac:dyDescent="0.35">
      <c r="A30" s="15"/>
      <c r="B30" s="15"/>
      <c r="C30" s="15"/>
      <c r="D30" s="15"/>
      <c r="E30" s="15"/>
      <c r="F30" s="15"/>
      <c r="G30" s="15"/>
      <c r="H30" s="15"/>
      <c r="I30" s="15"/>
      <c r="J30" s="19"/>
      <c r="K30" s="20"/>
      <c r="L30" s="20"/>
      <c r="M30" s="18">
        <f t="shared" ca="1" si="0"/>
        <v>46140</v>
      </c>
      <c r="N30" s="18">
        <f>IFERROR(COUNTIF('Interaction Log'!B:B,B30),0)</f>
        <v>0</v>
      </c>
      <c r="O30" s="18" t="str">
        <f t="shared" ca="1" si="1"/>
        <v>No Follow-Up Set</v>
      </c>
      <c r="P30" s="18" t="str">
        <f t="shared" ca="1" si="2"/>
        <v/>
      </c>
      <c r="Q30" s="18" t="str">
        <f t="shared" si="3"/>
        <v/>
      </c>
      <c r="R30" s="18" t="str">
        <f t="shared" ca="1" si="4"/>
        <v/>
      </c>
    </row>
    <row r="31" spans="1:18" x14ac:dyDescent="0.35">
      <c r="A31" s="15"/>
      <c r="B31" s="15"/>
      <c r="C31" s="15"/>
      <c r="D31" s="15"/>
      <c r="E31" s="15"/>
      <c r="F31" s="15"/>
      <c r="G31" s="15"/>
      <c r="H31" s="15"/>
      <c r="I31" s="15"/>
      <c r="J31" s="19"/>
      <c r="K31" s="20"/>
      <c r="L31" s="20"/>
      <c r="M31" s="18">
        <f t="shared" ca="1" si="0"/>
        <v>46140</v>
      </c>
      <c r="N31" s="18">
        <f>IFERROR(COUNTIF('Interaction Log'!B:B,B31),0)</f>
        <v>0</v>
      </c>
      <c r="O31" s="18" t="str">
        <f t="shared" ca="1" si="1"/>
        <v>No Follow-Up Set</v>
      </c>
      <c r="P31" s="18" t="str">
        <f t="shared" ca="1" si="2"/>
        <v/>
      </c>
      <c r="Q31" s="18" t="str">
        <f t="shared" si="3"/>
        <v/>
      </c>
      <c r="R31" s="18" t="str">
        <f t="shared" ca="1" si="4"/>
        <v/>
      </c>
    </row>
  </sheetData>
  <conditionalFormatting sqref="H2:H31">
    <cfRule type="cellIs" dxfId="8" priority="1" operator="equal">
      <formula>"Active"</formula>
    </cfRule>
    <cfRule type="cellIs" dxfId="7" priority="2" operator="equal">
      <formula>"At Risk"</formula>
    </cfRule>
    <cfRule type="cellIs" dxfId="6" priority="3" operator="equal">
      <formula>"Dormant"</formula>
    </cfRule>
    <cfRule type="cellIs" dxfId="5" priority="4" operator="equal">
      <formula>"Archived"</formula>
    </cfRule>
  </conditionalFormatting>
  <conditionalFormatting sqref="M2:M31">
    <cfRule type="expression" dxfId="4" priority="9">
      <formula>AND($M2&lt;&gt;"",$M2&gt;30)</formula>
    </cfRule>
  </conditionalFormatting>
  <conditionalFormatting sqref="O2:O31">
    <cfRule type="cellIs" dxfId="3" priority="5" operator="equal">
      <formula>"Overdue"</formula>
    </cfRule>
    <cfRule type="cellIs" dxfId="2" priority="6" operator="equal">
      <formula>"Due Soon"</formula>
    </cfRule>
    <cfRule type="cellIs" dxfId="1" priority="7" operator="equal">
      <formula>"On Track"</formula>
    </cfRule>
    <cfRule type="cellIs" dxfId="0" priority="8" operator="equal">
      <formula>"No Follow-Up Set"</formula>
    </cfRule>
  </conditionalFormatting>
  <dataValidations count="4">
    <dataValidation type="list" allowBlank="1" sqref="F2:F31" xr:uid="{00000000-0002-0000-0100-000000000000}">
      <formula1>StageList</formula1>
    </dataValidation>
    <dataValidation type="list" allowBlank="1" sqref="G2:G31" xr:uid="{00000000-0002-0000-0100-000001000000}">
      <formula1>OwnerList</formula1>
    </dataValidation>
    <dataValidation type="list" allowBlank="1" sqref="H2:H31" xr:uid="{00000000-0002-0000-0100-000002000000}">
      <formula1>StatusList</formula1>
    </dataValidation>
    <dataValidation type="list" allowBlank="1" sqref="I2:I31" xr:uid="{00000000-0002-0000-0100-000003000000}">
      <formula1>SegmentList</formula1>
    </dataValidation>
  </dataValidations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897B"/>
  </sheetPr>
  <dimension ref="A1:F41"/>
  <sheetViews>
    <sheetView showGridLines="0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12" customWidth="1"/>
    <col min="2" max="2" width="22" customWidth="1"/>
    <col min="3" max="3" width="12" customWidth="1"/>
    <col min="4" max="4" width="55" customWidth="1"/>
    <col min="5" max="5" width="12" customWidth="1"/>
    <col min="6" max="6" width="17" customWidth="1"/>
  </cols>
  <sheetData>
    <row r="1" spans="1:6" ht="29" x14ac:dyDescent="0.35">
      <c r="A1" s="14" t="s">
        <v>166</v>
      </c>
      <c r="B1" s="14" t="s">
        <v>167</v>
      </c>
      <c r="C1" s="14" t="s">
        <v>168</v>
      </c>
      <c r="D1" s="14" t="s">
        <v>21</v>
      </c>
      <c r="E1" s="14" t="s">
        <v>45</v>
      </c>
      <c r="F1" s="14" t="s">
        <v>169</v>
      </c>
    </row>
    <row r="2" spans="1:6" x14ac:dyDescent="0.35">
      <c r="A2" s="17">
        <v>46134</v>
      </c>
      <c r="B2" s="15" t="s">
        <v>83</v>
      </c>
      <c r="C2" s="15" t="s">
        <v>170</v>
      </c>
      <c r="D2" s="15" t="s">
        <v>171</v>
      </c>
      <c r="E2" s="15" t="s">
        <v>88</v>
      </c>
      <c r="F2" s="15" t="s">
        <v>172</v>
      </c>
    </row>
    <row r="3" spans="1:6" x14ac:dyDescent="0.35">
      <c r="A3" s="17">
        <v>46133</v>
      </c>
      <c r="B3" s="15" t="s">
        <v>151</v>
      </c>
      <c r="C3" s="15" t="s">
        <v>170</v>
      </c>
      <c r="D3" s="15" t="s">
        <v>173</v>
      </c>
      <c r="E3" s="15" t="s">
        <v>72</v>
      </c>
      <c r="F3" s="15" t="s">
        <v>172</v>
      </c>
    </row>
    <row r="4" spans="1:6" x14ac:dyDescent="0.35">
      <c r="A4" s="17">
        <v>46132</v>
      </c>
      <c r="B4" s="15" t="s">
        <v>58</v>
      </c>
      <c r="C4" s="15" t="s">
        <v>174</v>
      </c>
      <c r="D4" s="15" t="s">
        <v>175</v>
      </c>
      <c r="E4" s="15" t="s">
        <v>63</v>
      </c>
      <c r="F4" s="15" t="s">
        <v>172</v>
      </c>
    </row>
    <row r="5" spans="1:6" x14ac:dyDescent="0.35">
      <c r="A5" s="17">
        <v>46131</v>
      </c>
      <c r="B5" s="15" t="s">
        <v>136</v>
      </c>
      <c r="C5" s="15" t="s">
        <v>42</v>
      </c>
      <c r="D5" s="15" t="s">
        <v>176</v>
      </c>
      <c r="E5" s="15" t="s">
        <v>80</v>
      </c>
      <c r="F5" s="15" t="s">
        <v>172</v>
      </c>
    </row>
    <row r="6" spans="1:6" x14ac:dyDescent="0.35">
      <c r="A6" s="17">
        <v>46130</v>
      </c>
      <c r="B6" s="15" t="s">
        <v>67</v>
      </c>
      <c r="C6" s="15" t="s">
        <v>42</v>
      </c>
      <c r="D6" s="15" t="s">
        <v>176</v>
      </c>
      <c r="E6" s="15" t="s">
        <v>72</v>
      </c>
      <c r="F6" s="15" t="s">
        <v>177</v>
      </c>
    </row>
    <row r="7" spans="1:6" x14ac:dyDescent="0.35">
      <c r="A7" s="17">
        <v>46130</v>
      </c>
      <c r="B7" s="15" t="s">
        <v>121</v>
      </c>
      <c r="C7" s="15" t="s">
        <v>178</v>
      </c>
      <c r="D7" s="15" t="s">
        <v>179</v>
      </c>
      <c r="E7" s="15" t="s">
        <v>63</v>
      </c>
      <c r="F7" s="15" t="s">
        <v>172</v>
      </c>
    </row>
    <row r="8" spans="1:6" x14ac:dyDescent="0.35">
      <c r="A8" s="17">
        <v>46129</v>
      </c>
      <c r="B8" s="15" t="s">
        <v>126</v>
      </c>
      <c r="C8" s="15" t="s">
        <v>174</v>
      </c>
      <c r="D8" s="15" t="s">
        <v>180</v>
      </c>
      <c r="E8" s="15" t="s">
        <v>72</v>
      </c>
      <c r="F8" s="15" t="s">
        <v>172</v>
      </c>
    </row>
    <row r="9" spans="1:6" x14ac:dyDescent="0.35">
      <c r="A9" s="17">
        <v>46127</v>
      </c>
      <c r="B9" s="15" t="s">
        <v>75</v>
      </c>
      <c r="C9" s="15" t="s">
        <v>174</v>
      </c>
      <c r="D9" s="15" t="s">
        <v>181</v>
      </c>
      <c r="E9" s="15" t="s">
        <v>80</v>
      </c>
      <c r="F9" s="15" t="s">
        <v>172</v>
      </c>
    </row>
    <row r="10" spans="1:6" x14ac:dyDescent="0.35">
      <c r="A10" s="17">
        <v>46126</v>
      </c>
      <c r="B10" s="15" t="s">
        <v>146</v>
      </c>
      <c r="C10" s="15" t="s">
        <v>42</v>
      </c>
      <c r="D10" s="15" t="s">
        <v>182</v>
      </c>
      <c r="E10" s="15" t="s">
        <v>63</v>
      </c>
      <c r="F10" s="15" t="s">
        <v>177</v>
      </c>
    </row>
    <row r="11" spans="1:6" x14ac:dyDescent="0.35">
      <c r="A11" s="17">
        <v>46122</v>
      </c>
      <c r="B11" s="15" t="s">
        <v>96</v>
      </c>
      <c r="C11" s="15" t="s">
        <v>42</v>
      </c>
      <c r="D11" s="15" t="s">
        <v>183</v>
      </c>
      <c r="E11" s="15" t="s">
        <v>100</v>
      </c>
      <c r="F11" s="15" t="s">
        <v>172</v>
      </c>
    </row>
    <row r="12" spans="1:6" x14ac:dyDescent="0.35">
      <c r="A12" s="17">
        <v>46120</v>
      </c>
      <c r="B12" s="15" t="s">
        <v>116</v>
      </c>
      <c r="C12" s="15" t="s">
        <v>170</v>
      </c>
      <c r="D12" s="15" t="s">
        <v>184</v>
      </c>
      <c r="E12" s="15" t="s">
        <v>88</v>
      </c>
      <c r="F12" s="15" t="s">
        <v>172</v>
      </c>
    </row>
    <row r="13" spans="1:6" x14ac:dyDescent="0.35">
      <c r="A13" s="17">
        <v>46117</v>
      </c>
      <c r="B13" s="15" t="s">
        <v>141</v>
      </c>
      <c r="C13" s="15" t="s">
        <v>174</v>
      </c>
      <c r="D13" s="15" t="s">
        <v>185</v>
      </c>
      <c r="E13" s="15" t="s">
        <v>88</v>
      </c>
      <c r="F13" s="15" t="s">
        <v>172</v>
      </c>
    </row>
    <row r="14" spans="1:6" x14ac:dyDescent="0.35">
      <c r="A14" s="17">
        <v>46109</v>
      </c>
      <c r="B14" s="15" t="s">
        <v>156</v>
      </c>
      <c r="C14" s="15" t="s">
        <v>170</v>
      </c>
      <c r="D14" s="15" t="s">
        <v>186</v>
      </c>
      <c r="E14" s="15" t="s">
        <v>100</v>
      </c>
      <c r="F14" s="15" t="s">
        <v>177</v>
      </c>
    </row>
    <row r="15" spans="1:6" x14ac:dyDescent="0.35">
      <c r="A15" s="20"/>
      <c r="B15" s="15"/>
      <c r="C15" s="15"/>
      <c r="D15" s="15"/>
      <c r="E15" s="15"/>
      <c r="F15" s="15"/>
    </row>
    <row r="16" spans="1:6" x14ac:dyDescent="0.35">
      <c r="A16" s="20"/>
      <c r="B16" s="15"/>
      <c r="C16" s="15"/>
      <c r="D16" s="15"/>
      <c r="E16" s="15"/>
      <c r="F16" s="15"/>
    </row>
    <row r="17" spans="1:6" x14ac:dyDescent="0.35">
      <c r="A17" s="20"/>
      <c r="B17" s="15"/>
      <c r="C17" s="15"/>
      <c r="D17" s="15"/>
      <c r="E17" s="15"/>
      <c r="F17" s="15"/>
    </row>
    <row r="18" spans="1:6" x14ac:dyDescent="0.35">
      <c r="A18" s="20"/>
      <c r="B18" s="15"/>
      <c r="C18" s="15"/>
      <c r="D18" s="15"/>
      <c r="E18" s="15"/>
      <c r="F18" s="15"/>
    </row>
    <row r="19" spans="1:6" x14ac:dyDescent="0.35">
      <c r="A19" s="20"/>
      <c r="B19" s="15"/>
      <c r="C19" s="15"/>
      <c r="D19" s="15"/>
      <c r="E19" s="15"/>
      <c r="F19" s="15"/>
    </row>
    <row r="20" spans="1:6" x14ac:dyDescent="0.35">
      <c r="A20" s="20"/>
      <c r="B20" s="15"/>
      <c r="C20" s="15"/>
      <c r="D20" s="15"/>
      <c r="E20" s="15"/>
      <c r="F20" s="15"/>
    </row>
    <row r="21" spans="1:6" x14ac:dyDescent="0.35">
      <c r="A21" s="20"/>
      <c r="B21" s="15"/>
      <c r="C21" s="15"/>
      <c r="D21" s="15"/>
      <c r="E21" s="15"/>
      <c r="F21" s="15"/>
    </row>
    <row r="22" spans="1:6" x14ac:dyDescent="0.35">
      <c r="A22" s="20"/>
      <c r="B22" s="15"/>
      <c r="C22" s="15"/>
      <c r="D22" s="15"/>
      <c r="E22" s="15"/>
      <c r="F22" s="15"/>
    </row>
    <row r="23" spans="1:6" x14ac:dyDescent="0.35">
      <c r="A23" s="20"/>
      <c r="B23" s="15"/>
      <c r="C23" s="15"/>
      <c r="D23" s="15"/>
      <c r="E23" s="15"/>
      <c r="F23" s="15"/>
    </row>
    <row r="24" spans="1:6" x14ac:dyDescent="0.35">
      <c r="A24" s="20"/>
      <c r="B24" s="15"/>
      <c r="C24" s="15"/>
      <c r="D24" s="15"/>
      <c r="E24" s="15"/>
      <c r="F24" s="15"/>
    </row>
    <row r="25" spans="1:6" x14ac:dyDescent="0.35">
      <c r="A25" s="20"/>
      <c r="B25" s="15"/>
      <c r="C25" s="15"/>
      <c r="D25" s="15"/>
      <c r="E25" s="15"/>
      <c r="F25" s="15"/>
    </row>
    <row r="26" spans="1:6" x14ac:dyDescent="0.35">
      <c r="A26" s="20"/>
      <c r="B26" s="15"/>
      <c r="C26" s="15"/>
      <c r="D26" s="15"/>
      <c r="E26" s="15"/>
      <c r="F26" s="15"/>
    </row>
    <row r="27" spans="1:6" x14ac:dyDescent="0.35">
      <c r="A27" s="20"/>
      <c r="B27" s="15"/>
      <c r="C27" s="15"/>
      <c r="D27" s="15"/>
      <c r="E27" s="15"/>
      <c r="F27" s="15"/>
    </row>
    <row r="28" spans="1:6" x14ac:dyDescent="0.35">
      <c r="A28" s="20"/>
      <c r="B28" s="15"/>
      <c r="C28" s="15"/>
      <c r="D28" s="15"/>
      <c r="E28" s="15"/>
      <c r="F28" s="15"/>
    </row>
    <row r="29" spans="1:6" x14ac:dyDescent="0.35">
      <c r="A29" s="20"/>
      <c r="B29" s="15"/>
      <c r="C29" s="15"/>
      <c r="D29" s="15"/>
      <c r="E29" s="15"/>
      <c r="F29" s="15"/>
    </row>
    <row r="30" spans="1:6" x14ac:dyDescent="0.35">
      <c r="A30" s="20"/>
      <c r="B30" s="15"/>
      <c r="C30" s="15"/>
      <c r="D30" s="15"/>
      <c r="E30" s="15"/>
      <c r="F30" s="15"/>
    </row>
    <row r="31" spans="1:6" x14ac:dyDescent="0.35">
      <c r="A31" s="20"/>
      <c r="B31" s="15"/>
      <c r="C31" s="15"/>
      <c r="D31" s="15"/>
      <c r="E31" s="15"/>
      <c r="F31" s="15"/>
    </row>
    <row r="32" spans="1:6" x14ac:dyDescent="0.35">
      <c r="A32" s="20"/>
      <c r="B32" s="15"/>
      <c r="C32" s="15"/>
      <c r="D32" s="15"/>
      <c r="E32" s="15"/>
      <c r="F32" s="15"/>
    </row>
    <row r="33" spans="1:6" x14ac:dyDescent="0.35">
      <c r="A33" s="20"/>
      <c r="B33" s="15"/>
      <c r="C33" s="15"/>
      <c r="D33" s="15"/>
      <c r="E33" s="15"/>
      <c r="F33" s="15"/>
    </row>
    <row r="34" spans="1:6" x14ac:dyDescent="0.35">
      <c r="A34" s="20"/>
      <c r="B34" s="15"/>
      <c r="C34" s="15"/>
      <c r="D34" s="15"/>
      <c r="E34" s="15"/>
      <c r="F34" s="15"/>
    </row>
    <row r="35" spans="1:6" x14ac:dyDescent="0.35">
      <c r="A35" s="20"/>
      <c r="B35" s="15"/>
      <c r="C35" s="15"/>
      <c r="D35" s="15"/>
      <c r="E35" s="15"/>
      <c r="F35" s="15"/>
    </row>
    <row r="36" spans="1:6" x14ac:dyDescent="0.35">
      <c r="A36" s="20"/>
      <c r="B36" s="15"/>
      <c r="C36" s="15"/>
      <c r="D36" s="15"/>
      <c r="E36" s="15"/>
      <c r="F36" s="15"/>
    </row>
    <row r="37" spans="1:6" x14ac:dyDescent="0.35">
      <c r="A37" s="20"/>
      <c r="B37" s="15"/>
      <c r="C37" s="15"/>
      <c r="D37" s="15"/>
      <c r="E37" s="15"/>
      <c r="F37" s="15"/>
    </row>
    <row r="38" spans="1:6" x14ac:dyDescent="0.35">
      <c r="A38" s="20"/>
      <c r="B38" s="15"/>
      <c r="C38" s="15"/>
      <c r="D38" s="15"/>
      <c r="E38" s="15"/>
      <c r="F38" s="15"/>
    </row>
    <row r="39" spans="1:6" x14ac:dyDescent="0.35">
      <c r="A39" s="20"/>
      <c r="B39" s="15"/>
      <c r="C39" s="15"/>
      <c r="D39" s="15"/>
      <c r="E39" s="15"/>
      <c r="F39" s="15"/>
    </row>
    <row r="40" spans="1:6" x14ac:dyDescent="0.35">
      <c r="A40" s="20"/>
      <c r="B40" s="15"/>
      <c r="C40" s="15"/>
      <c r="D40" s="15"/>
      <c r="E40" s="15"/>
      <c r="F40" s="15"/>
    </row>
    <row r="41" spans="1:6" x14ac:dyDescent="0.35">
      <c r="A41" s="20"/>
      <c r="B41" s="15"/>
      <c r="C41" s="15"/>
      <c r="D41" s="15"/>
      <c r="E41" s="15"/>
      <c r="F41" s="15"/>
    </row>
  </sheetData>
  <dataValidations count="2">
    <dataValidation type="list" allowBlank="1" sqref="C2:C41" xr:uid="{00000000-0002-0000-0200-000000000000}">
      <formula1>"Call,Email,Meeting,Note,Demo,Other"</formula1>
    </dataValidation>
    <dataValidation type="list" allowBlank="1" sqref="F2:F41" xr:uid="{00000000-0002-0000-0200-000001000000}">
      <formula1>"Yes,No"</formula1>
    </dataValidation>
  </dataValidations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0F2F1"/>
  </sheetPr>
  <dimension ref="B2:I43"/>
  <sheetViews>
    <sheetView showGridLines="0" tabSelected="1" workbookViewId="0">
      <selection activeCell="J19" sqref="J19"/>
    </sheetView>
  </sheetViews>
  <sheetFormatPr defaultRowHeight="14.5" x14ac:dyDescent="0.35"/>
  <cols>
    <col min="1" max="1" width="3" customWidth="1"/>
    <col min="2" max="2" width="18" customWidth="1"/>
    <col min="3" max="3" width="11" customWidth="1"/>
    <col min="4" max="6" width="13" customWidth="1"/>
    <col min="7" max="7" width="10" customWidth="1"/>
    <col min="8" max="8" width="13" customWidth="1"/>
    <col min="9" max="9" width="11" customWidth="1"/>
  </cols>
  <sheetData>
    <row r="2" spans="2:9" ht="23.5" x14ac:dyDescent="0.35">
      <c r="B2" s="21" t="s">
        <v>187</v>
      </c>
    </row>
    <row r="3" spans="2:9" x14ac:dyDescent="0.35">
      <c r="B3" s="22" t="s">
        <v>188</v>
      </c>
    </row>
    <row r="5" spans="2:9" ht="26" customHeight="1" x14ac:dyDescent="0.35">
      <c r="B5" s="49" t="s">
        <v>189</v>
      </c>
      <c r="C5" s="28"/>
      <c r="D5" s="28"/>
      <c r="E5" s="28"/>
      <c r="F5" s="28"/>
      <c r="G5" s="28"/>
      <c r="H5" s="28"/>
      <c r="I5" s="28"/>
    </row>
    <row r="6" spans="2:9" ht="22" customHeight="1" x14ac:dyDescent="0.35">
      <c r="B6" s="41" t="s">
        <v>190</v>
      </c>
      <c r="C6" s="34"/>
      <c r="D6" s="38" t="s">
        <v>191</v>
      </c>
      <c r="E6" s="39"/>
      <c r="F6" s="38" t="s">
        <v>192</v>
      </c>
      <c r="G6" s="39"/>
      <c r="H6" s="41" t="s">
        <v>193</v>
      </c>
      <c r="I6" s="34"/>
    </row>
    <row r="7" spans="2:9" ht="38" customHeight="1" x14ac:dyDescent="0.35">
      <c r="B7" s="35">
        <f ca="1">COUNTIF('Client Database'!O2:O500,"Overdue")</f>
        <v>7</v>
      </c>
      <c r="C7" s="34"/>
      <c r="D7" s="40">
        <f ca="1">COUNTIF('Client Database'!O2:O500,"Due Soon")</f>
        <v>7</v>
      </c>
      <c r="E7" s="39"/>
      <c r="F7" s="40">
        <f>COUNTIF('Client Database'!H2:H500,"At Risk")</f>
        <v>3</v>
      </c>
      <c r="G7" s="39"/>
      <c r="H7" s="35">
        <f ca="1">SUMPRODUCT(('Client Database'!M2:M500&lt;&gt;"")*('Client Database'!M2:M500&gt;30))</f>
        <v>18</v>
      </c>
      <c r="I7" s="34"/>
    </row>
    <row r="9" spans="2:9" ht="17" x14ac:dyDescent="0.35">
      <c r="B9" s="6" t="s">
        <v>194</v>
      </c>
    </row>
    <row r="11" spans="2:9" ht="22" customHeight="1" x14ac:dyDescent="0.35">
      <c r="B11" s="48" t="s">
        <v>195</v>
      </c>
      <c r="C11" s="28"/>
      <c r="D11" s="32" t="str">
        <f ca="1">IFERROR(INDEX('Client Database'!B2:B500,MATCH(MAX('Client Database'!P2:P500),'Client Database'!P2:P500,0)),"No overdue follow-ups")</f>
        <v>Nectar Foods</v>
      </c>
      <c r="E11" s="33"/>
      <c r="F11" s="33"/>
      <c r="G11" s="33"/>
      <c r="H11" s="33"/>
      <c r="I11" s="34"/>
    </row>
    <row r="12" spans="2:9" ht="22" customHeight="1" x14ac:dyDescent="0.35">
      <c r="B12" s="28"/>
      <c r="C12" s="28"/>
      <c r="D12" s="42" t="str">
        <f ca="1">IFERROR(INDEX('Client Database'!G2:G500,MATCH(MAX('Client Database'!P2:P500),'Client Database'!P2:P500,0))&amp;" • "&amp;MAX('Client Database'!P2:P500)&amp;" days since last contact  •  1 of "&amp;COUNTIF('Client Database'!O2:O500,"Overdue")&amp;" overdue","")</f>
        <v>Marcus • 54 days since last contact  •  1 of 7 overdue</v>
      </c>
      <c r="E12" s="33"/>
      <c r="F12" s="33"/>
      <c r="G12" s="33"/>
      <c r="H12" s="33"/>
      <c r="I12" s="34"/>
    </row>
    <row r="13" spans="2:9" ht="6" customHeight="1" x14ac:dyDescent="0.35"/>
    <row r="14" spans="2:9" ht="22" customHeight="1" x14ac:dyDescent="0.35">
      <c r="B14" s="50" t="s">
        <v>196</v>
      </c>
      <c r="C14" s="28"/>
      <c r="D14" s="47" t="str">
        <f ca="1">IFERROR(INDEX('Client Database'!B2:B500,MATCH(MAX('Client Database'!R2:R500),'Client Database'!R2:R500,0)),"No client data yet")</f>
        <v>Roam Travel</v>
      </c>
      <c r="E14" s="46"/>
      <c r="F14" s="46"/>
      <c r="G14" s="46"/>
      <c r="H14" s="46"/>
      <c r="I14" s="39"/>
    </row>
    <row r="15" spans="2:9" ht="22" customHeight="1" x14ac:dyDescent="0.35">
      <c r="B15" s="28"/>
      <c r="C15" s="28"/>
      <c r="D15" s="45" t="str">
        <f ca="1">IFERROR(INDEX('Client Database'!G2:G500,MATCH(MAX('Client Database'!R2:R500),'Client Database'!R2:R500,0))&amp;" • "&amp;MAX('Client Database'!R2:R500)&amp;" days since last contact  •  "&amp;SUMPRODUCT(('Client Database'!R2:R500&lt;&gt;"")*('Client Database'!R2:R500&gt;30))&amp;" clients 30+ days cold","")</f>
        <v>Priya • 75 days since last contact  •  5 clients 30+ days cold</v>
      </c>
      <c r="E15" s="46"/>
      <c r="F15" s="46"/>
      <c r="G15" s="46"/>
      <c r="H15" s="46"/>
      <c r="I15" s="39"/>
    </row>
    <row r="16" spans="2:9" ht="6" customHeight="1" x14ac:dyDescent="0.35"/>
    <row r="17" spans="2:9" ht="22" customHeight="1" x14ac:dyDescent="0.35">
      <c r="B17" s="48" t="s">
        <v>197</v>
      </c>
      <c r="C17" s="28"/>
      <c r="D17" s="32" t="str">
        <f>IFERROR(INDEX('Client Database'!B2:B500,MATCH(MAX('Client Database'!Q2:Q500),'Client Database'!Q2:Q500,0)),"No at-risk accounts")</f>
        <v>Pinnacle Health</v>
      </c>
      <c r="E17" s="33"/>
      <c r="F17" s="33"/>
      <c r="G17" s="33"/>
      <c r="H17" s="33"/>
      <c r="I17" s="34"/>
    </row>
    <row r="18" spans="2:9" ht="22" customHeight="1" x14ac:dyDescent="0.35">
      <c r="B18" s="28"/>
      <c r="C18" s="28"/>
      <c r="D18" s="42" t="str">
        <f>IFERROR(INDEX('Client Database'!G2:G500,MATCH(MAX('Client Database'!Q2:Q500),'Client Database'!Q2:Q500,0))&amp;" • $"&amp;TEXT(MAX('Client Database'!Q2:Q500),"#,##0")&amp;"  •  1 of "&amp;COUNTIF('Client Database'!H2:H500,"At Risk")&amp;" at-risk accounts","")</f>
        <v>James • $62,000  •  1 of 3 at-risk accounts</v>
      </c>
      <c r="E18" s="33"/>
      <c r="F18" s="33"/>
      <c r="G18" s="33"/>
      <c r="H18" s="33"/>
      <c r="I18" s="34"/>
    </row>
    <row r="20" spans="2:9" ht="22" customHeight="1" x14ac:dyDescent="0.35">
      <c r="B20" s="43" t="s">
        <v>198</v>
      </c>
      <c r="C20" s="28"/>
      <c r="D20" s="28"/>
      <c r="E20" s="28"/>
      <c r="F20" s="28"/>
      <c r="G20" s="28"/>
      <c r="H20" s="28"/>
      <c r="I20" s="28"/>
    </row>
    <row r="21" spans="2:9" ht="22" customHeight="1" x14ac:dyDescent="0.35">
      <c r="B21" s="28"/>
      <c r="C21" s="28"/>
      <c r="D21" s="28"/>
      <c r="E21" s="28"/>
      <c r="F21" s="28"/>
      <c r="G21" s="28"/>
      <c r="H21" s="28"/>
      <c r="I21" s="28"/>
    </row>
    <row r="22" spans="2:9" ht="18.5" x14ac:dyDescent="0.35">
      <c r="B22" s="23" t="s">
        <v>199</v>
      </c>
    </row>
    <row r="23" spans="2:9" ht="22" customHeight="1" x14ac:dyDescent="0.35">
      <c r="B23" s="36" t="s">
        <v>200</v>
      </c>
      <c r="C23" s="37"/>
      <c r="D23" s="36" t="s">
        <v>201</v>
      </c>
      <c r="E23" s="37"/>
      <c r="F23" s="36" t="s">
        <v>202</v>
      </c>
      <c r="G23" s="37"/>
      <c r="H23" s="36" t="s">
        <v>203</v>
      </c>
      <c r="I23" s="37"/>
    </row>
    <row r="24" spans="2:9" ht="36" customHeight="1" x14ac:dyDescent="0.35">
      <c r="B24" s="51">
        <f>COUNTA('Client Database'!B2:B500)</f>
        <v>18</v>
      </c>
      <c r="C24" s="37"/>
      <c r="D24" s="51">
        <f>COUNTIFS('Client Database'!F2:F500,"&lt;&gt;Closed Won",'Client Database'!F2:F500,"&lt;&gt;Closed Lost",'Client Database'!F2:F500,"&lt;&gt;")</f>
        <v>15</v>
      </c>
      <c r="E24" s="37"/>
      <c r="F24" s="44">
        <f>SUMIFS('Client Database'!J2:J500,'Client Database'!F2:F500,"&lt;&gt;Closed Won",'Client Database'!F2:F500,"&lt;&gt;Closed Lost",'Client Database'!F2:F500,"&lt;&gt;")</f>
        <v>329300</v>
      </c>
      <c r="G24" s="37"/>
      <c r="H24" s="44">
        <f>SUMIFS('Client Database'!J2:J500,'Client Database'!F2:F500,"Closed Won")</f>
        <v>49500</v>
      </c>
      <c r="I24" s="37"/>
    </row>
    <row r="26" spans="2:9" ht="17" x14ac:dyDescent="0.35">
      <c r="B26" s="6" t="s">
        <v>204</v>
      </c>
      <c r="F26" s="6" t="s">
        <v>205</v>
      </c>
    </row>
    <row r="28" spans="2:9" x14ac:dyDescent="0.35">
      <c r="B28" s="14" t="s">
        <v>44</v>
      </c>
      <c r="C28" s="14" t="s">
        <v>206</v>
      </c>
      <c r="D28" s="14" t="s">
        <v>207</v>
      </c>
      <c r="F28" s="14" t="s">
        <v>45</v>
      </c>
      <c r="G28" s="14" t="s">
        <v>208</v>
      </c>
      <c r="H28" s="14" t="s">
        <v>209</v>
      </c>
      <c r="I28" s="14" t="s">
        <v>210</v>
      </c>
    </row>
    <row r="29" spans="2:9" x14ac:dyDescent="0.35">
      <c r="B29" s="24" t="s">
        <v>79</v>
      </c>
      <c r="C29" s="18">
        <f>COUNTIF('Client Database'!F2:F500,"New")</f>
        <v>4</v>
      </c>
      <c r="D29" s="25">
        <f>SUMIFS('Client Database'!J2:J500,'Client Database'!F2:F500,"New")</f>
        <v>34100</v>
      </c>
      <c r="F29" s="24" t="s">
        <v>63</v>
      </c>
      <c r="G29" s="18">
        <f>COUNTIF('Client Database'!G2:G500,"Sarah")</f>
        <v>4</v>
      </c>
      <c r="H29" s="25">
        <f>SUMIFS('Client Database'!J2:J500,'Client Database'!G2:G500,"Sarah",'Client Database'!F2:F500,"&lt;&gt;Closed Lost")</f>
        <v>53900</v>
      </c>
      <c r="I29" s="18">
        <f ca="1">COUNTIFS('Client Database'!G2:G500,"Sarah",'Client Database'!O2:O500,"Overdue")</f>
        <v>0</v>
      </c>
    </row>
    <row r="30" spans="2:9" x14ac:dyDescent="0.35">
      <c r="B30" s="24" t="s">
        <v>62</v>
      </c>
      <c r="C30" s="18">
        <f>COUNTIF('Client Database'!F2:F500,"Qualified")</f>
        <v>4</v>
      </c>
      <c r="D30" s="25">
        <f>SUMIFS('Client Database'!J2:J500,'Client Database'!F2:F500,"Qualified")</f>
        <v>68200</v>
      </c>
      <c r="F30" s="24" t="s">
        <v>72</v>
      </c>
      <c r="G30" s="18">
        <f>COUNTIF('Client Database'!G2:G500,"James")</f>
        <v>4</v>
      </c>
      <c r="H30" s="25">
        <f>SUMIFS('Client Database'!J2:J500,'Client Database'!G2:G500,"James",'Client Database'!F2:F500,"&lt;&gt;Closed Lost")</f>
        <v>139500</v>
      </c>
      <c r="I30" s="18">
        <f ca="1">COUNTIFS('Client Database'!G2:G500,"James",'Client Database'!O2:O500,"Overdue")</f>
        <v>3</v>
      </c>
    </row>
    <row r="31" spans="2:9" x14ac:dyDescent="0.35">
      <c r="B31" s="24" t="s">
        <v>71</v>
      </c>
      <c r="C31" s="18">
        <f>COUNTIF('Client Database'!F2:F500,"Proposal")</f>
        <v>3</v>
      </c>
      <c r="D31" s="25">
        <f>SUMIFS('Client Database'!J2:J500,'Client Database'!F2:F500,"Proposal")</f>
        <v>88000</v>
      </c>
      <c r="F31" s="24" t="s">
        <v>80</v>
      </c>
      <c r="G31" s="18">
        <f>COUNTIF('Client Database'!G2:G500,"Priya")</f>
        <v>4</v>
      </c>
      <c r="H31" s="25">
        <f>SUMIFS('Client Database'!J2:J500,'Client Database'!G2:G500,"Priya",'Client Database'!F2:F500,"&lt;&gt;Closed Lost")</f>
        <v>48500</v>
      </c>
      <c r="I31" s="18">
        <f ca="1">COUNTIFS('Client Database'!G2:G500,"Priya",'Client Database'!O2:O500,"Overdue")</f>
        <v>0</v>
      </c>
    </row>
    <row r="32" spans="2:9" x14ac:dyDescent="0.35">
      <c r="B32" s="24" t="s">
        <v>87</v>
      </c>
      <c r="C32" s="18">
        <f>COUNTIF('Client Database'!F2:F500,"Negotiation")</f>
        <v>3</v>
      </c>
      <c r="D32" s="25">
        <f>SUMIFS('Client Database'!J2:J500,'Client Database'!F2:F500,"Negotiation")</f>
        <v>134500</v>
      </c>
      <c r="F32" s="24" t="s">
        <v>88</v>
      </c>
      <c r="G32" s="18">
        <f>COUNTIF('Client Database'!G2:G500,"Marcus")</f>
        <v>3</v>
      </c>
      <c r="H32" s="25">
        <f>SUMIFS('Client Database'!J2:J500,'Client Database'!G2:G500,"Marcus",'Client Database'!F2:F500,"&lt;&gt;Closed Lost")</f>
        <v>91500</v>
      </c>
      <c r="I32" s="18">
        <f ca="1">COUNTIFS('Client Database'!G2:G500,"Marcus",'Client Database'!O2:O500,"Overdue")</f>
        <v>3</v>
      </c>
    </row>
    <row r="33" spans="2:9" x14ac:dyDescent="0.35">
      <c r="B33" s="24" t="s">
        <v>94</v>
      </c>
      <c r="C33" s="18">
        <f>COUNTIF('Client Database'!F2:F500,"Closed Won")</f>
        <v>2</v>
      </c>
      <c r="D33" s="25">
        <f>SUMIFS('Client Database'!J2:J500,'Client Database'!F2:F500,"Closed Won")</f>
        <v>49500</v>
      </c>
      <c r="F33" s="24" t="s">
        <v>100</v>
      </c>
      <c r="G33" s="18">
        <f>COUNTIF('Client Database'!G2:G500,"Lee")</f>
        <v>3</v>
      </c>
      <c r="H33" s="25">
        <f>SUMIFS('Client Database'!J2:J500,'Client Database'!G2:G500,"Lee",'Client Database'!F2:F500,"&lt;&gt;Closed Lost")</f>
        <v>45400</v>
      </c>
      <c r="I33" s="18">
        <f ca="1">COUNTIFS('Client Database'!G2:G500,"Lee",'Client Database'!O2:O500,"Overdue")</f>
        <v>1</v>
      </c>
    </row>
    <row r="34" spans="2:9" x14ac:dyDescent="0.35">
      <c r="B34" s="24" t="s">
        <v>112</v>
      </c>
      <c r="C34" s="18">
        <f>COUNTIF('Client Database'!F2:F500,"Closed Lost")</f>
        <v>1</v>
      </c>
      <c r="D34" s="25">
        <f>SUMIFS('Client Database'!J2:J500,'Client Database'!F2:F500,"Closed Lost")</f>
        <v>7500</v>
      </c>
    </row>
    <row r="36" spans="2:9" ht="17" x14ac:dyDescent="0.35">
      <c r="B36" s="6" t="s">
        <v>211</v>
      </c>
    </row>
    <row r="38" spans="2:9" x14ac:dyDescent="0.35">
      <c r="B38" s="14" t="s">
        <v>47</v>
      </c>
      <c r="C38" s="14" t="s">
        <v>208</v>
      </c>
      <c r="D38" s="14" t="s">
        <v>209</v>
      </c>
    </row>
    <row r="39" spans="2:9" x14ac:dyDescent="0.35">
      <c r="B39" s="24" t="s">
        <v>65</v>
      </c>
      <c r="C39" s="18">
        <f>COUNTIF('Client Database'!I2:I500,"Enterprise")</f>
        <v>5</v>
      </c>
      <c r="D39" s="25">
        <f>SUMIFS('Client Database'!J2:J500,'Client Database'!I2:I500,"Enterprise",'Client Database'!F2:F500,"&lt;&gt;Closed Lost")</f>
        <v>192500</v>
      </c>
    </row>
    <row r="40" spans="2:9" x14ac:dyDescent="0.35">
      <c r="B40" s="24" t="s">
        <v>73</v>
      </c>
      <c r="C40" s="18">
        <f>COUNTIF('Client Database'!I2:I500,"Mid-Market")</f>
        <v>5</v>
      </c>
      <c r="D40" s="25">
        <f>SUMIFS('Client Database'!J2:J500,'Client Database'!I2:I500,"Mid-Market",'Client Database'!F2:F500,"&lt;&gt;Closed Lost")</f>
        <v>104700</v>
      </c>
    </row>
    <row r="41" spans="2:9" x14ac:dyDescent="0.35">
      <c r="B41" s="24" t="s">
        <v>81</v>
      </c>
      <c r="C41" s="18">
        <f>COUNTIF('Client Database'!I2:I500,"SMB")</f>
        <v>5</v>
      </c>
      <c r="D41" s="25">
        <f>SUMIFS('Client Database'!J2:J500,'Client Database'!I2:I500,"SMB",'Client Database'!F2:F500,"&lt;&gt;Closed Lost")</f>
        <v>58700</v>
      </c>
    </row>
    <row r="42" spans="2:9" x14ac:dyDescent="0.35">
      <c r="B42" s="24" t="s">
        <v>114</v>
      </c>
      <c r="C42" s="18">
        <f>COUNTIF('Client Database'!I2:I500,"Startup")</f>
        <v>3</v>
      </c>
      <c r="D42" s="25">
        <f>SUMIFS('Client Database'!J2:J500,'Client Database'!I2:I500,"Startup",'Client Database'!F2:F500,"&lt;&gt;Closed Lost")</f>
        <v>22900</v>
      </c>
    </row>
    <row r="43" spans="2:9" x14ac:dyDescent="0.35">
      <c r="B43" s="24" t="s">
        <v>212</v>
      </c>
      <c r="C43" s="18">
        <f>COUNTIF('Client Database'!I2:I500,"Non-Profit")</f>
        <v>0</v>
      </c>
      <c r="D43" s="25">
        <f>SUMIFS('Client Database'!J2:J500,'Client Database'!I2:I500,"Non-Profit",'Client Database'!F2:F500,"&lt;&gt;Closed Lost")</f>
        <v>0</v>
      </c>
    </row>
  </sheetData>
  <mergeCells count="27">
    <mergeCell ref="B5:I5"/>
    <mergeCell ref="B14:C15"/>
    <mergeCell ref="B24:C24"/>
    <mergeCell ref="D24:E24"/>
    <mergeCell ref="H24:I24"/>
    <mergeCell ref="F24:G24"/>
    <mergeCell ref="D15:I15"/>
    <mergeCell ref="D7:E7"/>
    <mergeCell ref="D14:I14"/>
    <mergeCell ref="H7:I7"/>
    <mergeCell ref="D23:E23"/>
    <mergeCell ref="F6:G6"/>
    <mergeCell ref="F7:G7"/>
    <mergeCell ref="D6:E6"/>
    <mergeCell ref="H23:I23"/>
    <mergeCell ref="H6:I6"/>
    <mergeCell ref="D18:I18"/>
    <mergeCell ref="B20:I21"/>
    <mergeCell ref="D12:I12"/>
    <mergeCell ref="B6:C6"/>
    <mergeCell ref="B17:C18"/>
    <mergeCell ref="B11:C12"/>
    <mergeCell ref="D11:I11"/>
    <mergeCell ref="B7:C7"/>
    <mergeCell ref="B23:C23"/>
    <mergeCell ref="F23:G23"/>
    <mergeCell ref="D17:I17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E9E9E"/>
  </sheetPr>
  <dimension ref="B2:E11"/>
  <sheetViews>
    <sheetView showGridLines="0" workbookViewId="0"/>
  </sheetViews>
  <sheetFormatPr defaultRowHeight="14.5" x14ac:dyDescent="0.35"/>
  <cols>
    <col min="1" max="1" width="3" customWidth="1"/>
    <col min="2" max="3" width="18" customWidth="1"/>
    <col min="4" max="5" width="16" customWidth="1"/>
  </cols>
  <sheetData>
    <row r="2" spans="2:5" ht="21" x14ac:dyDescent="0.35">
      <c r="B2" s="26" t="s">
        <v>23</v>
      </c>
    </row>
    <row r="3" spans="2:5" x14ac:dyDescent="0.35">
      <c r="B3" s="22" t="s">
        <v>213</v>
      </c>
    </row>
    <row r="5" spans="2:5" x14ac:dyDescent="0.35">
      <c r="B5" s="14" t="s">
        <v>214</v>
      </c>
      <c r="C5" s="14" t="s">
        <v>215</v>
      </c>
      <c r="D5" s="14" t="s">
        <v>216</v>
      </c>
      <c r="E5" s="14" t="s">
        <v>217</v>
      </c>
    </row>
    <row r="6" spans="2:5" x14ac:dyDescent="0.35">
      <c r="B6" s="15" t="s">
        <v>79</v>
      </c>
      <c r="C6" s="15" t="s">
        <v>63</v>
      </c>
      <c r="D6" s="15" t="s">
        <v>64</v>
      </c>
      <c r="E6" s="15" t="s">
        <v>65</v>
      </c>
    </row>
    <row r="7" spans="2:5" x14ac:dyDescent="0.35">
      <c r="B7" s="15" t="s">
        <v>62</v>
      </c>
      <c r="C7" s="15" t="s">
        <v>72</v>
      </c>
      <c r="D7" s="15" t="s">
        <v>101</v>
      </c>
      <c r="E7" s="15" t="s">
        <v>73</v>
      </c>
    </row>
    <row r="8" spans="2:5" x14ac:dyDescent="0.35">
      <c r="B8" s="15" t="s">
        <v>71</v>
      </c>
      <c r="C8" s="15" t="s">
        <v>80</v>
      </c>
      <c r="D8" s="15" t="s">
        <v>165</v>
      </c>
      <c r="E8" s="15" t="s">
        <v>81</v>
      </c>
    </row>
    <row r="9" spans="2:5" x14ac:dyDescent="0.35">
      <c r="B9" s="15" t="s">
        <v>87</v>
      </c>
      <c r="C9" s="15" t="s">
        <v>88</v>
      </c>
      <c r="D9" s="15" t="s">
        <v>113</v>
      </c>
      <c r="E9" s="15" t="s">
        <v>114</v>
      </c>
    </row>
    <row r="10" spans="2:5" x14ac:dyDescent="0.35">
      <c r="B10" s="15" t="s">
        <v>94</v>
      </c>
      <c r="C10" s="15" t="s">
        <v>100</v>
      </c>
      <c r="E10" s="15" t="s">
        <v>212</v>
      </c>
    </row>
    <row r="11" spans="2:5" x14ac:dyDescent="0.35">
      <c r="B11" s="15" t="s">
        <v>112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Start Here</vt:lpstr>
      <vt:lpstr>Client Database</vt:lpstr>
      <vt:lpstr>Interaction Log</vt:lpstr>
      <vt:lpstr>Summary</vt:lpstr>
      <vt:lpstr>Settings</vt:lpstr>
      <vt:lpstr>OwnerList</vt:lpstr>
      <vt:lpstr>SegmentList</vt:lpstr>
      <vt:lpstr>StageList</vt:lpstr>
      <vt:lpstr>StatusList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Waheed Burna</cp:lastModifiedBy>
  <dcterms:created xsi:type="dcterms:W3CDTF">2026-04-29T00:00:49Z</dcterms:created>
  <dcterms:modified xsi:type="dcterms:W3CDTF">2026-04-29T00:09:04Z</dcterms:modified>
</cp:coreProperties>
</file>